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650" activeTab="0"/>
  </bookViews>
  <sheets>
    <sheet name="Tổng hợp " sheetId="1" r:id="rId1"/>
    <sheet name="PL1-2" sheetId="2" state="hidden" r:id="rId2"/>
    <sheet name="PL1-1" sheetId="3" state="hidden" r:id="rId3"/>
    <sheet name="PL 2.1a" sheetId="4" r:id="rId4"/>
    <sheet name="PL 2.3" sheetId="5" r:id="rId5"/>
    <sheet name="PL 2.3a" sheetId="6" r:id="rId6"/>
    <sheet name="PL 2.2" sheetId="7" r:id="rId7"/>
    <sheet name="PL 2.1" sheetId="8" r:id="rId8"/>
    <sheet name="PL 2.1b" sheetId="9" r:id="rId9"/>
    <sheet name="PL3" sheetId="10" state="hidden" r:id="rId10"/>
    <sheet name="thuyvan" sheetId="11" state="hidden" r:id="rId11"/>
    <sheet name="truyen trieu" sheetId="12" state="hidden" r:id="rId12"/>
    <sheet name="bientap" sheetId="13" state="hidden" r:id="rId13"/>
    <sheet name="khai thac" sheetId="14" state="hidden" r:id="rId14"/>
    <sheet name="Sheet2" sheetId="15" state="hidden" r:id="rId15"/>
    <sheet name="tien do" sheetId="16" state="hidden" r:id="rId16"/>
    <sheet name="phan cong" sheetId="17" state="hidden" r:id="rId17"/>
  </sheets>
  <externalReferences>
    <externalReference r:id="rId20"/>
    <externalReference r:id="rId21"/>
  </externalReferences>
  <definedNames>
    <definedName name="_xlnm.Print_Area" localSheetId="2">'PL1-1'!$A$1:$H$30</definedName>
    <definedName name="_xlnm.Print_Area" localSheetId="1">'PL1-2'!$A$1:$W$15</definedName>
    <definedName name="_xlnm.Print_Titles" localSheetId="7">'PL 2.1'!$4:$4</definedName>
    <definedName name="_xlnm.Print_Titles" localSheetId="8">'PL 2.1b'!$4:$4</definedName>
    <definedName name="_xlnm.Print_Titles" localSheetId="2">'/Users\TONGCU~1\AppData\Local\Temp\[Vet lu.QB_A.Phong.xls]Cước bộ'!$4:$4</definedName>
    <definedName name="_xlnm.Print_Titles" localSheetId="1">'PL1-2'!$4:$5</definedName>
    <definedName name="_xlnm.Print_Titles" localSheetId="0">'Tổng hợp '!$5:$5</definedName>
  </definedNames>
  <calcPr fullCalcOnLoad="1"/>
</workbook>
</file>

<file path=xl/comments2.xml><?xml version="1.0" encoding="utf-8"?>
<comments xmlns="http://schemas.openxmlformats.org/spreadsheetml/2006/main">
  <authors>
    <author>Author</author>
  </authors>
  <commentList>
    <comment ref="E6" authorId="0">
      <text>
        <r>
          <rPr>
            <sz val="8.25"/>
            <color indexed="8"/>
            <rFont val="Microsoft Sans Serif"/>
            <family val="2"/>
          </rPr>
          <t>Có thể thay đổi tên Hạng Mục đầu tiên tại ô này.</t>
        </r>
      </text>
    </comment>
  </commentList>
</comments>
</file>

<file path=xl/comments3.xml><?xml version="1.0" encoding="utf-8"?>
<comments xmlns="http://schemas.openxmlformats.org/spreadsheetml/2006/main">
  <authors>
    <author>Author</author>
  </authors>
  <commentList>
    <comment ref="Q6" authorId="0">
      <text>
        <r>
          <rPr>
            <sz val="8.25"/>
            <color indexed="8"/>
            <rFont val="Microsoft Sans Serif"/>
            <family val="2"/>
          </rPr>
          <t>Có thể thay đổi tên Hạng Mục đầu tiên tại ô này.</t>
        </r>
      </text>
    </comment>
  </commentList>
</comments>
</file>

<file path=xl/sharedStrings.xml><?xml version="1.0" encoding="utf-8"?>
<sst xmlns="http://schemas.openxmlformats.org/spreadsheetml/2006/main" count="1064" uniqueCount="509">
  <si>
    <t>TT</t>
  </si>
  <si>
    <t>Nội dung công việc</t>
  </si>
  <si>
    <t>Đơn vị</t>
  </si>
  <si>
    <t>Khối lượng</t>
  </si>
  <si>
    <t>A</t>
  </si>
  <si>
    <t>I</t>
  </si>
  <si>
    <t>Công</t>
  </si>
  <si>
    <t>II</t>
  </si>
  <si>
    <t>Giá thực tế</t>
  </si>
  <si>
    <t>B</t>
  </si>
  <si>
    <t>C</t>
  </si>
  <si>
    <t>CHI PHÍ KHÁC</t>
  </si>
  <si>
    <t>Văn phòng phẩm các  loại (in ấn, đĩa CD, giấy in...)</t>
  </si>
  <si>
    <t>USB</t>
  </si>
  <si>
    <t>Cái</t>
  </si>
  <si>
    <t>hộp</t>
  </si>
  <si>
    <t>Giấy A3</t>
  </si>
  <si>
    <t>gam</t>
  </si>
  <si>
    <t>Giấy A4</t>
  </si>
  <si>
    <t>Photo tài liệu, phiếu điều tra</t>
  </si>
  <si>
    <t>trang</t>
  </si>
  <si>
    <t>Đĩa CD</t>
  </si>
  <si>
    <t>chiếc</t>
  </si>
  <si>
    <t>Dụng cụ phục vụ thực địa</t>
  </si>
  <si>
    <t>Sơn đánh dấu tại hiện trường</t>
  </si>
  <si>
    <t>Bút để đánh dấu</t>
  </si>
  <si>
    <t>Pin dùng cho máy ảnh</t>
  </si>
  <si>
    <t>LÀM TRÒN</t>
  </si>
  <si>
    <t>Thước dây</t>
  </si>
  <si>
    <t xml:space="preserve">Đổ mực máy in </t>
  </si>
  <si>
    <t>lần</t>
  </si>
  <si>
    <t>Đổ mực máy in màu</t>
  </si>
  <si>
    <t>Bút bi</t>
  </si>
  <si>
    <t>Cặp đựng tài liệu</t>
  </si>
  <si>
    <t>Áo mưa</t>
  </si>
  <si>
    <t>Giầy ủng đi thực địa</t>
  </si>
  <si>
    <t>đôi</t>
  </si>
  <si>
    <t>Sổ công tác</t>
  </si>
  <si>
    <t>quyển</t>
  </si>
  <si>
    <t>Hệ số</t>
  </si>
  <si>
    <t>Giá trị</t>
  </si>
  <si>
    <t>Mức lương cơ bản</t>
  </si>
  <si>
    <t>G</t>
  </si>
  <si>
    <t>Làm tròn</t>
  </si>
  <si>
    <t>Mục thu thập tài liệu</t>
  </si>
  <si>
    <t>Chú thích</t>
  </si>
  <si>
    <t>Tổng</t>
  </si>
  <si>
    <t>BẢNG DỰ TOÁN HẠNG MỤC CÔNG TRÌNH</t>
  </si>
  <si>
    <t xml:space="preserve">CÔNG TRÌNH : </t>
  </si>
  <si>
    <t>HẠNG MỤC : HẠNG MỤC 1</t>
  </si>
  <si>
    <t>STT</t>
  </si>
  <si>
    <t>Mã số</t>
  </si>
  <si>
    <t>Tên công tác / Diễn giải khối lượng</t>
  </si>
  <si>
    <t>Số</t>
  </si>
  <si>
    <t>Kích thước</t>
  </si>
  <si>
    <t>D.tích</t>
  </si>
  <si>
    <t>K.L</t>
  </si>
  <si>
    <t>Đơn giá</t>
  </si>
  <si>
    <t>Thành tiền</t>
  </si>
  <si>
    <t>Hệ số điều chỉnh</t>
  </si>
  <si>
    <t>Đã dùng đơn giá</t>
  </si>
  <si>
    <t>Hao phí định mức</t>
  </si>
  <si>
    <t>Hệ số định mức</t>
  </si>
  <si>
    <t>Thi công</t>
  </si>
  <si>
    <t>Tỉnh TP / Chuyên ngành</t>
  </si>
  <si>
    <t>Định mức</t>
  </si>
  <si>
    <t>P.L Vữa</t>
  </si>
  <si>
    <t>C.K</t>
  </si>
  <si>
    <t>Dài</t>
  </si>
  <si>
    <t>Rộng</t>
  </si>
  <si>
    <t>Cao</t>
  </si>
  <si>
    <t>phụ</t>
  </si>
  <si>
    <t>( M2 )</t>
  </si>
  <si>
    <t>C.Kiện</t>
  </si>
  <si>
    <t>Vật liệu</t>
  </si>
  <si>
    <t>V.L phụ</t>
  </si>
  <si>
    <t>Nhân công</t>
  </si>
  <si>
    <t>Máy T.C</t>
  </si>
  <si>
    <t>Máy thi công</t>
  </si>
  <si>
    <t>V.L</t>
  </si>
  <si>
    <t>N.C</t>
  </si>
  <si>
    <t>Máy</t>
  </si>
  <si>
    <t>Giá máy</t>
  </si>
  <si>
    <t>Bắt đầu</t>
  </si>
  <si>
    <t>Kết thúc</t>
  </si>
  <si>
    <t>HM</t>
  </si>
  <si>
    <t>HẠNG MỤC 1</t>
  </si>
  <si>
    <t>CL.031003</t>
  </si>
  <si>
    <t xml:space="preserve">Thuỷ chuẩn kỹ thuật Cấp địa hình III </t>
  </si>
  <si>
    <t>1km</t>
  </si>
  <si>
    <t>DG999QB_KS</t>
  </si>
  <si>
    <t>GM282011</t>
  </si>
  <si>
    <t>0259~Sổ đo~quyển~0.2~0.2~10000~10000~0~1~1~0~11000~ž0189~Giấy viết~tập~0.15~0.15~8000~850000~0~1~1~0~935000~žZ999~Vật liệu khác~%~30~30~32~1295~0~1~1~0~0~</t>
  </si>
  <si>
    <t>N002~Bậc thợ 4/7~công~4.27~4.27~205402~201058~0~1~1~0~40667~N1.40</t>
  </si>
  <si>
    <t>M094~Ni 030~ca~0.4~0.4~9361~9361~0~1~1~0~10297.1~M690</t>
  </si>
  <si>
    <t>QuangBinh</t>
  </si>
  <si>
    <t>CO.014003</t>
  </si>
  <si>
    <t>Đo vẽ mặt cắt ngang ở dưới nước Cấp địa hình III</t>
  </si>
  <si>
    <t>100m</t>
  </si>
  <si>
    <t>0080~Cọc gỗ 0,04 x 0,04 x 0,4~cọc~6~6~6000~6000~0~1~1~0~6600~ž0257~Sơn đỏ, trắng~kg~0.06~0.06~36970~36970~0~1~1~0~40667~ž0260~Sổ đo các loại~quyển~0.5~0.5~10000~10000~0~1~1~0~11000~ž0185~Giấy kẻ ly cao 0,3m~m~0.5~0.5~6000~900000~0~1~1~0~990000~ž0181~Giấy can cao 0,3m~m~0.5~0.5~8000~720000~0~1~1~0~792000~žZ999~Vật liệu khác~%~10~10~502.182~8532.182~0~1~1~0~0~</t>
  </si>
  <si>
    <t>N002~Bậc thợ 4/7~công~5.6~5.6~205402~201058~0~1~1~0~40667~N1.40</t>
  </si>
  <si>
    <t>M097~Theo 020~ca~0.66~0.66~18150~18150~0~1~1~0~19965~M687žM084~Máy thuỷ chuẩn Ni 030~ca~0.3~0.3~9361~9361~0~1~1~0~10297.1~M690žM999~Máy khác~%~5~5~147.873~147.873~0~1~1~0~0~</t>
  </si>
  <si>
    <t>CO.012003</t>
  </si>
  <si>
    <t>Đo vẽ mặt cắt ngang ở trên cạn Cấp địa hình III</t>
  </si>
  <si>
    <t>0080~Cọc gỗ 0,04 x 0,04 x 0,4~cọc~7~7~6000~6000~0~1~1~0~6600~ž0257~Sơn đỏ, trắng~kg~0.07~0.07~36970~36970~0~1~1~0~40667~ž0260~Sổ đo các loại~quyển~0.5~0.5~10000~10000~0~1~1~0~11000~ž0185~Giấy kẻ ly cao 0,3m~m~0.5~0.5~6000~900000~0~1~1~0~990000~ž0181~Giấy can cao 0,3m~m~0.5~0.5~8000~720000~0~1~1~0~792000~žZ999~Vật liệu khác~%~10~10~565.879~8595.879~0~1~1~0~0~</t>
  </si>
  <si>
    <t>N002~Bậc thợ 4/7~công~3.73~3.73~205402~201058~0~1~1~0~40667~N1.40</t>
  </si>
  <si>
    <t>M082~Máy Theo 020~ca~0.39~0.39~18150~18150~0~1~1~0~19965~M687žM084~Máy thuỷ chuẩn Ni 030~ca~0.15~0.15~9361~9361~0~1~1~0~10297.1~M690žM999~Máy khác~%~5~5~84.8265~84.8265~0~1~1~0~0~</t>
  </si>
  <si>
    <t>THM</t>
  </si>
  <si>
    <t>TỔNG CỘNG : HẠNG MỤC 1</t>
  </si>
  <si>
    <t>BẢNG TỔNG HỢP DỰ TOÁN CHI PHÍ XÂY DỰNG</t>
  </si>
  <si>
    <t>Khoản mục chi phí</t>
  </si>
  <si>
    <t>Ký hiệu</t>
  </si>
  <si>
    <t>Cách tính</t>
  </si>
  <si>
    <t>CHI PHÍ TRỰC TIẾP</t>
  </si>
  <si>
    <t>1</t>
  </si>
  <si>
    <t>Chi phí Vật liệu</t>
  </si>
  <si>
    <t>VL</t>
  </si>
  <si>
    <t xml:space="preserve"> + Theo đơn giá trực tiếp</t>
  </si>
  <si>
    <t>A1</t>
  </si>
  <si>
    <t>Bảng dự toán hạng mục</t>
  </si>
  <si>
    <t xml:space="preserve"> + Chênh lệch vật liệu</t>
  </si>
  <si>
    <t>CL</t>
  </si>
  <si>
    <t>Theo bảng bù giá</t>
  </si>
  <si>
    <t>Cộng</t>
  </si>
  <si>
    <t>A1 + CL</t>
  </si>
  <si>
    <t>2</t>
  </si>
  <si>
    <t>Chi phí Nhân công</t>
  </si>
  <si>
    <t>NC</t>
  </si>
  <si>
    <t>B1</t>
  </si>
  <si>
    <t xml:space="preserve"> + Chênh lệch nhân công</t>
  </si>
  <si>
    <t>CLNC</t>
  </si>
  <si>
    <t>B1 + CLNC</t>
  </si>
  <si>
    <t>3</t>
  </si>
  <si>
    <t>Chi phí Máy thi công</t>
  </si>
  <si>
    <t>M</t>
  </si>
  <si>
    <t>C1</t>
  </si>
  <si>
    <t>Cộng chi phí trực tiếp</t>
  </si>
  <si>
    <t>T</t>
  </si>
  <si>
    <t>VL + NC + M</t>
  </si>
  <si>
    <t>CHI PHÍ CHUNG</t>
  </si>
  <si>
    <t>NC x 65%</t>
  </si>
  <si>
    <t>III</t>
  </si>
  <si>
    <t>THU NHẬP CHỊU THUẾ TÍNH TRƯỚC</t>
  </si>
  <si>
    <t>TL</t>
  </si>
  <si>
    <t>(T+C) x 5,5%</t>
  </si>
  <si>
    <t>Giá thành khảo sát xây dựng</t>
  </si>
  <si>
    <t>Gks</t>
  </si>
  <si>
    <t>(T+C+TL)</t>
  </si>
  <si>
    <t>Chi phí lập phương án kỹ thuật khảo sát</t>
  </si>
  <si>
    <t>Cpa</t>
  </si>
  <si>
    <t>Gks x 2%</t>
  </si>
  <si>
    <t>Chi phí lập báo cáo kết quả khảo sát</t>
  </si>
  <si>
    <t>Cbc</t>
  </si>
  <si>
    <t>Gks x 3%</t>
  </si>
  <si>
    <t>Chi phí chỗ ở tạm thời</t>
  </si>
  <si>
    <t>Cot</t>
  </si>
  <si>
    <t>4</t>
  </si>
  <si>
    <t>Chi phí di chuyển máy, thiết bị khảo sát</t>
  </si>
  <si>
    <t>Cdc</t>
  </si>
  <si>
    <t>Gks x 0%</t>
  </si>
  <si>
    <t>Giá trị dự toán khảo sát trước thuế</t>
  </si>
  <si>
    <t>Gks+Cpa+Cbc+Cot+Cdc</t>
  </si>
  <si>
    <t>IV</t>
  </si>
  <si>
    <t>THUẾ GIÁ TRỊ GIA TĂNG</t>
  </si>
  <si>
    <t>GTGT</t>
  </si>
  <si>
    <t>G x 10%</t>
  </si>
  <si>
    <t>V</t>
  </si>
  <si>
    <t>Giá trị khảo sát sau thuế</t>
  </si>
  <si>
    <t>Gst</t>
  </si>
  <si>
    <t>G + GTGT</t>
  </si>
  <si>
    <t>VI</t>
  </si>
  <si>
    <t>Chi phí dự phòng</t>
  </si>
  <si>
    <t>Gdp</t>
  </si>
  <si>
    <t>Gst x 0%</t>
  </si>
  <si>
    <t>VII</t>
  </si>
  <si>
    <t>TỔNG CỘNG</t>
  </si>
  <si>
    <t>Gxd</t>
  </si>
  <si>
    <t>Gst + Gdp</t>
  </si>
  <si>
    <t>Bằng chữ : Bảy trăm linh một triệu bảy trăm mười chín nghìn đồng chẵn./.</t>
  </si>
  <si>
    <t>Số lượng</t>
  </si>
  <si>
    <t>Giá thành</t>
  </si>
  <si>
    <t>II.1</t>
  </si>
  <si>
    <t>III.1</t>
  </si>
  <si>
    <t>III.2</t>
  </si>
  <si>
    <t>TÀI LIỆU KHÍ TƯỢNG THỦY VĂN CẦN THU THẬP</t>
  </si>
  <si>
    <t xml:space="preserve">Gồm: </t>
  </si>
  <si>
    <t xml:space="preserve">- Kinh phí tính truyền triều: </t>
  </si>
  <si>
    <t xml:space="preserve">đồng </t>
  </si>
  <si>
    <t>- Chỉnh lý và biên tập:</t>
  </si>
  <si>
    <t>- Phí khai thác:</t>
  </si>
  <si>
    <t>TỔNG:</t>
  </si>
  <si>
    <t>1.1. KINH PHÍ TÍNH TRUYỀN TRIỀU</t>
  </si>
  <si>
    <t>+ Theo đơn giá của Trung tâm Hải Văn - Bộ Tài nguyên Môi trường, kinh phí tính truyền triều về 1 cửa sông trong 01 năm. Kinh phí tính truyền triều như sau:</t>
  </si>
  <si>
    <t xml:space="preserve">BẢNG DỰ TOÁN TÍNH TRUYỀN TRIỀU VỀ  CỬA SÔNG </t>
  </si>
  <si>
    <t>Trạm</t>
  </si>
  <si>
    <t>Thời gian</t>
  </si>
  <si>
    <t>Đơn giá (đồng/năm</t>
  </si>
  <si>
    <t>Thành tiền (đồng)</t>
  </si>
  <si>
    <t>Cửa Nhật Lệ</t>
  </si>
  <si>
    <t>Năm</t>
  </si>
  <si>
    <t>Thuế suất 10%</t>
  </si>
  <si>
    <t>Tổng kinh phí truyền triều</t>
  </si>
  <si>
    <t>1.2. CHỈNH LÝ, BIÊN TẬP, TÍNH TOÁN</t>
  </si>
  <si>
    <t>DANH MỤC TRẠM KHÍ TƯỢNG THỦY VĂN CẦN THU THẬP</t>
  </si>
  <si>
    <t>Yếu tố</t>
  </si>
  <si>
    <t>Số năm</t>
  </si>
  <si>
    <t>Số biểu /năm</t>
  </si>
  <si>
    <t>Tổng biểu</t>
  </si>
  <si>
    <t>I.</t>
  </si>
  <si>
    <t>Tài liệu khí tượng</t>
  </si>
  <si>
    <t>Đồng Hới</t>
  </si>
  <si>
    <t>Nhiệt độ tb ngày</t>
  </si>
  <si>
    <t>Độ ẩm tb ngày</t>
  </si>
  <si>
    <t>Bốc hơi tb ngày</t>
  </si>
  <si>
    <t>Giờ nắng tb ngày</t>
  </si>
  <si>
    <t>Tốc độ gió tb ngày</t>
  </si>
  <si>
    <t>Lệ Thủy</t>
  </si>
  <si>
    <t>II.</t>
  </si>
  <si>
    <t>Tài liệu mưa</t>
  </si>
  <si>
    <t>Yếu tố trung bình ngày</t>
  </si>
  <si>
    <t>Lượng mưa ngày</t>
  </si>
  <si>
    <t>Kiến Giang</t>
  </si>
  <si>
    <t>Làng Mô (Trường Sơn)</t>
  </si>
  <si>
    <t>Yếu tố thực đo giờ</t>
  </si>
  <si>
    <t>Mưa giờ 1 tháng max</t>
  </si>
  <si>
    <t>III.</t>
  </si>
  <si>
    <t>Tài liệu thủy văn</t>
  </si>
  <si>
    <t>Vùng không ảnh hưởng triều</t>
  </si>
  <si>
    <t>Mực nước tb ngày</t>
  </si>
  <si>
    <t>H giờ mùa lũ</t>
  </si>
  <si>
    <t>Vùng ảnh hưởng triều</t>
  </si>
  <si>
    <t xml:space="preserve">Mực nước đỉnh, chân </t>
  </si>
  <si>
    <t>Mực nước giờ triều</t>
  </si>
  <si>
    <t xml:space="preserve">BẢNG DỰ TOÁN KINH PHÍ CHỈNH LÝ, BIÊN TẬP TÀI LIỆU KTTV </t>
  </si>
  <si>
    <t>Hạng mục</t>
  </si>
  <si>
    <t>Đơn giá (đồng/năm)</t>
  </si>
  <si>
    <t>Biểu</t>
  </si>
  <si>
    <t>-</t>
  </si>
  <si>
    <t>Các yếu tố trung bình ngày</t>
  </si>
  <si>
    <t>Các yếu tố thực đo giờ</t>
  </si>
  <si>
    <t>+</t>
  </si>
  <si>
    <t xml:space="preserve">Mực nước trung bình ngày </t>
  </si>
  <si>
    <t>Mực nước đỉnh chân triều</t>
  </si>
  <si>
    <t>Mực nước giờ vùng triều</t>
  </si>
  <si>
    <t>Thuế suất (10%)</t>
  </si>
  <si>
    <r>
      <t>Tổng phí chỉnh lý, biên tập, tính toán sau thuế:</t>
    </r>
    <r>
      <rPr>
        <sz val="12"/>
        <color indexed="8"/>
        <rFont val="Times New Roman"/>
        <family val="1"/>
      </rPr>
      <t> </t>
    </r>
  </si>
  <si>
    <t>1.3. PHÍ KHAI THÁC</t>
  </si>
  <si>
    <t>- Theo thông tư số 23/2009/TT-BTC ngày 25/02/2009 quy định về mức phí thu, chế độ thu, nộp, quản lý và sử dụng phí khai thác và sử dụng tài liệu khí tượng thủy văn, môi trường nước và không khí.</t>
  </si>
  <si>
    <t>BẢNG DANH MỤC TRẠM KHÍ TƯỢNG THỦY VĂN</t>
  </si>
  <si>
    <t xml:space="preserve">Tài liệu khí tượng </t>
  </si>
  <si>
    <t>1956 - 2008</t>
  </si>
  <si>
    <t>Nhật Lệ</t>
  </si>
  <si>
    <r>
      <t>106</t>
    </r>
    <r>
      <rPr>
        <vertAlign val="superscript"/>
        <sz val="12"/>
        <color indexed="8"/>
        <rFont val="Times New Roman"/>
        <family val="1"/>
      </rPr>
      <t>0</t>
    </r>
    <r>
      <rPr>
        <sz val="12"/>
        <color indexed="8"/>
        <rFont val="Times New Roman"/>
        <family val="1"/>
      </rPr>
      <t>37’</t>
    </r>
  </si>
  <si>
    <r>
      <t>17</t>
    </r>
    <r>
      <rPr>
        <vertAlign val="superscript"/>
        <sz val="12"/>
        <color indexed="8"/>
        <rFont val="Times New Roman"/>
        <family val="1"/>
      </rPr>
      <t>0</t>
    </r>
    <r>
      <rPr>
        <sz val="12"/>
        <color indexed="8"/>
        <rFont val="Times New Roman"/>
        <family val="1"/>
      </rPr>
      <t>28’</t>
    </r>
  </si>
  <si>
    <r>
      <t>X, V, Z T</t>
    </r>
    <r>
      <rPr>
        <vertAlign val="superscript"/>
        <sz val="12"/>
        <color indexed="8"/>
        <rFont val="Times New Roman"/>
        <family val="1"/>
      </rPr>
      <t>o</t>
    </r>
    <r>
      <rPr>
        <sz val="12"/>
        <color indexed="8"/>
        <rFont val="Times New Roman"/>
        <family val="1"/>
      </rPr>
      <t>, U</t>
    </r>
  </si>
  <si>
    <t>1958-1961, 1968-1981, 85-2008</t>
  </si>
  <si>
    <r>
      <t>106</t>
    </r>
    <r>
      <rPr>
        <vertAlign val="superscript"/>
        <sz val="12"/>
        <color indexed="8"/>
        <rFont val="Times New Roman"/>
        <family val="1"/>
      </rPr>
      <t>0</t>
    </r>
    <r>
      <rPr>
        <sz val="12"/>
        <color indexed="8"/>
        <rFont val="Times New Roman"/>
        <family val="1"/>
      </rPr>
      <t>47’</t>
    </r>
  </si>
  <si>
    <r>
      <t>17</t>
    </r>
    <r>
      <rPr>
        <vertAlign val="superscript"/>
        <sz val="12"/>
        <color indexed="8"/>
        <rFont val="Times New Roman"/>
        <family val="1"/>
      </rPr>
      <t>0</t>
    </r>
    <r>
      <rPr>
        <sz val="12"/>
        <color indexed="8"/>
        <rFont val="Times New Roman"/>
        <family val="1"/>
      </rPr>
      <t>13’</t>
    </r>
  </si>
  <si>
    <t>1962 - 2008</t>
  </si>
  <si>
    <r>
      <t>106</t>
    </r>
    <r>
      <rPr>
        <vertAlign val="superscript"/>
        <sz val="12"/>
        <color indexed="8"/>
        <rFont val="Times New Roman"/>
        <family val="1"/>
      </rPr>
      <t>0</t>
    </r>
    <r>
      <rPr>
        <sz val="12"/>
        <color indexed="8"/>
        <rFont val="Times New Roman"/>
        <family val="1"/>
      </rPr>
      <t>44’</t>
    </r>
  </si>
  <si>
    <r>
      <t>17</t>
    </r>
    <r>
      <rPr>
        <vertAlign val="superscript"/>
        <sz val="12"/>
        <color indexed="8"/>
        <rFont val="Times New Roman"/>
        <family val="1"/>
      </rPr>
      <t>0</t>
    </r>
    <r>
      <rPr>
        <sz val="12"/>
        <color indexed="8"/>
        <rFont val="Times New Roman"/>
        <family val="1"/>
      </rPr>
      <t>00’</t>
    </r>
  </si>
  <si>
    <t>X</t>
  </si>
  <si>
    <t>Cẩm Ly</t>
  </si>
  <si>
    <t>1962 - 1992</t>
  </si>
  <si>
    <t xml:space="preserve">BẢNG DỰ TOÁN TIỀN PHÍ KHAI THÁC TÀI LIỆU KTTV </t>
  </si>
  <si>
    <t>Ghi chú</t>
  </si>
  <si>
    <t>I. Điều tra, khảo sát và thu thập tài liệu</t>
  </si>
  <si>
    <t>II. Viết báo cáo và lập bản đồ</t>
  </si>
  <si>
    <t>Hệ số chức danh nghiên cứu</t>
  </si>
  <si>
    <t>Lương 1 ngày công</t>
  </si>
  <si>
    <t>Tháng thứ 1</t>
  </si>
  <si>
    <t>Tháng thứ 2</t>
  </si>
  <si>
    <t>Tháng thứ 3</t>
  </si>
  <si>
    <r>
      <t>A.</t>
    </r>
    <r>
      <rPr>
        <b/>
        <i/>
        <sz val="7"/>
        <color indexed="8"/>
        <rFont val="Times New Roman"/>
        <family val="1"/>
      </rPr>
      <t xml:space="preserve">  </t>
    </r>
    <r>
      <rPr>
        <b/>
        <i/>
        <sz val="13"/>
        <color indexed="8"/>
        <rFont val="Times New Roman"/>
        <family val="1"/>
      </rPr>
      <t>Năm 2017</t>
    </r>
  </si>
  <si>
    <r>
      <t>1.</t>
    </r>
    <r>
      <rPr>
        <sz val="7"/>
        <color indexed="8"/>
        <rFont val="Times New Roman"/>
        <family val="1"/>
      </rPr>
      <t xml:space="preserve">     </t>
    </r>
    <r>
      <rPr>
        <sz val="13"/>
        <color indexed="8"/>
        <rFont val="Times New Roman"/>
        <family val="1"/>
      </rPr>
      <t>Lập phiếu điều tra, chuẩn bị thiết bị dụng cụ</t>
    </r>
  </si>
  <si>
    <r>
      <t>2.</t>
    </r>
    <r>
      <rPr>
        <sz val="7"/>
        <color indexed="8"/>
        <rFont val="Times New Roman"/>
        <family val="1"/>
      </rPr>
      <t xml:space="preserve">     </t>
    </r>
    <r>
      <rPr>
        <sz val="13"/>
        <color indexed="8"/>
        <rFont val="Times New Roman"/>
        <family val="1"/>
      </rPr>
      <t>Thu thập tài liệu phục vụ dự án</t>
    </r>
  </si>
  <si>
    <r>
      <t>3.</t>
    </r>
    <r>
      <rPr>
        <sz val="7"/>
        <color indexed="8"/>
        <rFont val="Times New Roman"/>
        <family val="1"/>
      </rPr>
      <t xml:space="preserve">     </t>
    </r>
    <r>
      <rPr>
        <sz val="13"/>
        <color indexed="8"/>
        <rFont val="Times New Roman"/>
        <family val="1"/>
      </rPr>
      <t>Điều tra, đánh dấu vết lũ</t>
    </r>
  </si>
  <si>
    <t xml:space="preserve">      1. Xây dựng bản đồ điều tra vết lũ</t>
  </si>
  <si>
    <t xml:space="preserve">      2. Phân tích, đánh giá sơ bộ nguyên nhân và kiến nghị giải pháp giảm thiểu ngập lụt trên địa bàn tỉnh Quảng Bình</t>
  </si>
  <si>
    <r>
      <t xml:space="preserve">      </t>
    </r>
    <r>
      <rPr>
        <sz val="13"/>
        <color indexed="8"/>
        <rFont val="Times New Roman"/>
        <family val="1"/>
      </rPr>
      <t>3. Viết báo cáo tổng hợp</t>
    </r>
  </si>
  <si>
    <t>B. Năm 2018</t>
  </si>
  <si>
    <t>1.Dẫn thuỷ chuẩn</t>
  </si>
  <si>
    <t>2. Viết báo cáo tổng hợp</t>
  </si>
  <si>
    <t xml:space="preserve">Nghị định 47/2017/NĐ-CP </t>
  </si>
  <si>
    <t>Mức lương vùng tối thiểu cao nhất</t>
  </si>
  <si>
    <t>Số ngày làm việc</t>
  </si>
  <si>
    <t>Báo cáo chuyên đề đánh giá hiện trạng, khả năng đáp ứng với lũ lớn đối với công tác tìm kiếm cứu nạn ở các địa phương vùng lũ (lực lượng, phương tiện, vật tư, trang thiết bị, ...); số liệu về công tác chuẩn bị phòng, chống lũ, lụt theo phương châm “4 tại chỗ” ở các địa phương vùng lũ;</t>
  </si>
  <si>
    <t>Báo cáo chuyên đề phân tích đánh giá hiện trạng cơ sở hạ tầng, hệ thống đê ao bờ bao. Tổng hợ khu vực xung yếu</t>
  </si>
  <si>
    <t xml:space="preserve">Báo cáo chuyên đề đánh giá hiện trạng về cơ sở hạ tầng, các công trình phòng chống thiên tai khu vực dự án. Thống kế các khu vực xung yếu </t>
  </si>
  <si>
    <t>Báo cáo chuyên đề phân tích đánh giá diễn biến lũ, công tác ứng phó và tổng hợp thiệt hại do các trận lũ lớn từ năm 2000 đến nay</t>
  </si>
  <si>
    <t>Nội dung thực hiện</t>
  </si>
  <si>
    <t>Số trang</t>
  </si>
  <si>
    <t>Tham gia</t>
  </si>
  <si>
    <t>chủ trì</t>
  </si>
  <si>
    <t>Quản lý chung</t>
  </si>
  <si>
    <t>Ngày hoàn thành</t>
  </si>
  <si>
    <t>PHÂN CÔNG THỰC HIỆN CHI TIẾT NHIỆM VỤ
Nhiệm vụ: "Xây dựng Phương án ứng phó với các kịch bản lũ lớn 
ở Đồng bằng sông Cửu Long"</t>
  </si>
  <si>
    <t>Xây dựng Báo cáo phương án ứng phó với các kịch bản lũ lớn</t>
  </si>
  <si>
    <t>Hóa</t>
  </si>
  <si>
    <t>Anh Chung</t>
  </si>
  <si>
    <t>Hải</t>
  </si>
  <si>
    <t>Nam + V.Anh</t>
  </si>
  <si>
    <t>Nam</t>
  </si>
  <si>
    <t>Chung, Nam, V. Anh</t>
  </si>
  <si>
    <t>Hóa, Hải, Quân</t>
  </si>
  <si>
    <t>Chung, Hóa, Nam, Hải</t>
  </si>
  <si>
    <t xml:space="preserve">BẢNG TIẾN ĐỘ THỰC HIỆN VÀ NHÂN LỰC HUY ĐỘNG </t>
  </si>
  <si>
    <t>Tháng 11</t>
  </si>
  <si>
    <t>Tháng 12</t>
  </si>
  <si>
    <t>T1</t>
  </si>
  <si>
    <t>T2</t>
  </si>
  <si>
    <t>T3</t>
  </si>
  <si>
    <t>T4</t>
  </si>
  <si>
    <t>Xây dựng các báo cáo chuyên đề và thẩm định</t>
  </si>
  <si>
    <t>Chỉnh sửa, Hoàn thiện sản phâm giao nộp</t>
  </si>
  <si>
    <t>NHÂN LỰC (người)</t>
  </si>
  <si>
    <t>Cán bộ đánh giá nguyên nhân, viết báo cáo (bậc 8/8)</t>
  </si>
  <si>
    <t>Đơn giá  (đồng)</t>
  </si>
  <si>
    <t>Người
/buổi</t>
  </si>
  <si>
    <t>bộ</t>
  </si>
  <si>
    <t xml:space="preserve">Xây dựng các báo cáo tong hợp </t>
  </si>
  <si>
    <t>Thành Tiền 
(đồng)</t>
  </si>
  <si>
    <t>Chi phí khác</t>
  </si>
  <si>
    <t>In ấn, phô tô tài liệu thu thập</t>
  </si>
  <si>
    <t>In ấn, photo sản phẩm giao nộp</t>
  </si>
  <si>
    <t>Mức 3 (TT 02/2015/TT-BLĐTBXH)</t>
  </si>
  <si>
    <t>Mức 2 (TT 02/2015/TT-BLĐTBXH)</t>
  </si>
  <si>
    <t>Mức 4 (TT 02/2015/TT-BLĐTBXH)</t>
  </si>
  <si>
    <t>tờ</t>
  </si>
  <si>
    <t>tháng công</t>
  </si>
  <si>
    <t>Theo thực tế</t>
  </si>
  <si>
    <t>TỔNG CỘNG TRƯỚC THUẾ</t>
  </si>
  <si>
    <t>THUẾ VAT (10%)</t>
  </si>
  <si>
    <t>bản đồ</t>
  </si>
  <si>
    <t xml:space="preserve"> -</t>
  </si>
  <si>
    <t>Báo cáo tổng hợp, xây dựng phương án, lập bản đồ chuyên đề</t>
  </si>
  <si>
    <t>Cán bộ thu thập tài liệu</t>
  </si>
  <si>
    <t>Nghị định 90/2019/NĐ-CP ngày 15/11/2019</t>
  </si>
  <si>
    <t>Thu thập thông tin về đặc điểm khí hậu, địa hình, địa chất. Các điều kiện kinh tế xã hội, phân bố dân cư; Cơ sở hạ tầng…</t>
  </si>
  <si>
    <t>Thu thập hiện trạng Văn phòng thường trực BCH PCTT và tìm kiếm cứu nạn cấp huyện và một số xã điểm về thiên tai</t>
  </si>
  <si>
    <t xml:space="preserve">Thu thập hệ thống công trình phòng chống thiên tai: hệ thống công trình thủy lợi đê kè, hệ thống các công trình hồ chứa đã có phương án an toàn hạ du hồ chứa. Thu thập phương tiện, vật tư, trang thiết bị, nhu yếu phẩm phục vụ PCTT; </t>
  </si>
  <si>
    <t>Thu thập về công tác phục hồi, tái thiết sau thiên tai; Thu thập cơ sở dữ liệu bản đồ số.</t>
  </si>
  <si>
    <t xml:space="preserve">km </t>
  </si>
  <si>
    <t>02 ngày</t>
  </si>
  <si>
    <t>người x ngày</t>
  </si>
  <si>
    <t>Thông tư 40/2017/TT-BTC</t>
  </si>
  <si>
    <t xml:space="preserve">Phụ cấp </t>
  </si>
  <si>
    <t>In pano, backdrop</t>
  </si>
  <si>
    <t>Bộ</t>
  </si>
  <si>
    <t>Thuê hội trường</t>
  </si>
  <si>
    <t>ngày</t>
  </si>
  <si>
    <t>Hội thảo góp ý dự thảo phương án (01 ngày)</t>
  </si>
  <si>
    <t>In bản đồ</t>
  </si>
  <si>
    <t>Ngày</t>
  </si>
  <si>
    <t>In, phô tô Báo cáo phương án ứng phó + đóng tập</t>
  </si>
  <si>
    <t>In bản đồ 3 x 4m</t>
  </si>
  <si>
    <t xml:space="preserve">Đơn vị </t>
  </si>
  <si>
    <t>Đơn vị tư vấn và các bên liên quan</t>
  </si>
  <si>
    <t>Đơn vị tính</t>
  </si>
  <si>
    <t>Đại biểu</t>
  </si>
  <si>
    <t>Tổng cộng</t>
  </si>
  <si>
    <t>Phụ cấp đi đường (đại biểu)</t>
  </si>
  <si>
    <t>Số ngày</t>
  </si>
  <si>
    <t>Ủy Ban Nhân dân thành phố Đông Hà</t>
  </si>
  <si>
    <t>Ban chỉ huy PCTT và TKCN tỉnh Quảng Trị</t>
  </si>
  <si>
    <t>Ủy Ban Nhân dân tỉnh Quảng Trị</t>
  </si>
  <si>
    <t>Sở Nông nghiệp và Phát triển nông thôn tỉnh Quảng Trị</t>
  </si>
  <si>
    <t>Địa điểm</t>
  </si>
  <si>
    <t>Số chuyến</t>
  </si>
  <si>
    <t>Đơn giá/chuyến</t>
  </si>
  <si>
    <t xml:space="preserve">Cự ly trung bình </t>
  </si>
  <si>
    <r>
      <t xml:space="preserve">Đơn giá
</t>
    </r>
    <r>
      <rPr>
        <b/>
        <sz val="12"/>
        <rFont val="Times New Roman"/>
        <family val="1"/>
      </rPr>
      <t>(km)</t>
    </r>
  </si>
  <si>
    <t>Đơn giá
( 01 chuyến)</t>
  </si>
  <si>
    <t>Huyện Vĩnh Linh</t>
  </si>
  <si>
    <t>Huyện Gio Linh</t>
  </si>
  <si>
    <t>Huyện Cam Lộ</t>
  </si>
  <si>
    <t>Huyện Triệu Phong</t>
  </si>
  <si>
    <t>Huyện Hải Lăng</t>
  </si>
  <si>
    <t>Huyện Đakrông</t>
  </si>
  <si>
    <t>Huyện Hướng Hóa</t>
  </si>
  <si>
    <t>Thành phố Đông Hà</t>
  </si>
  <si>
    <t>Thị xã Quảng Trị</t>
  </si>
  <si>
    <t>Huyện đảo Cồn Cỏ</t>
  </si>
  <si>
    <t>- Thực địa trên địa bàn thành phố Đông Hà</t>
  </si>
  <si>
    <t>- Từ thành phố  Đông Hà đến huyện Gio Linh -  Đông Hà và đi thực địa các xã 150km (35 km x 2 + 150 km)</t>
  </si>
  <si>
    <t>- Từ thành phố  Đông Hà đến huyệnTriệu Phong -  Đông Hà và đi thực địa các xã 200km (07 km x 2 + 200 km)</t>
  </si>
  <si>
    <t>- Từ thành phố  Đông Hà đến thị xã Quảng Trị -  Đông Hà và đi thực địa các xã 200km (15 km x 2 + 50 km)</t>
  </si>
  <si>
    <t>- Từ thành phố  Đông Hà đến huyện Hải Lăng -  Đông Hà và đi thực địa các xã 200km (40 km x 2 + 200 km)</t>
  </si>
  <si>
    <t>- Từ thành phố  Đông Hà đến huyện Hướng Hóa -  Đông Hà và đi thực địa các xã 300km (80 km x 2 + 300 km)</t>
  </si>
  <si>
    <t>- Từ thành phố  Đông Hà đến huyện Đakrông -  Đông Hà và đi thực địa các xã 300km (41 km x 2 + 300 km)</t>
  </si>
  <si>
    <t>- Từ thành phố  Đông Hà đến huyện Cam Lộ -  Đông Hà và đi thực địa các xã 150km (12 km x 2 + 150 km)</t>
  </si>
  <si>
    <t xml:space="preserve">- Từ thành phố  Đông Hà đến huyện Cồn Cỏ -  Đông Hà </t>
  </si>
  <si>
    <t>- Từ thành phố  Đông Hà đến huyệnVĩnh Linh -  Đông Hà và đi thực địa các xã 200km (35 km x 2 + 200 km)</t>
  </si>
  <si>
    <t>Chi cục Thủy lợi tỉnh Quảng Trị</t>
  </si>
  <si>
    <t>Ủy Ban Nhân dân huyện Vĩnh Linh</t>
  </si>
  <si>
    <t>Ủy Ban Nhân dân huyện Gio Linh</t>
  </si>
  <si>
    <t>Ủy Ban Nhân dân huyện Triệu Phong</t>
  </si>
  <si>
    <t>Ủy Ban Nhân dân thị xã Quảng Trị</t>
  </si>
  <si>
    <t>Ủy Ban Nhân dân huyện Hải Lăng</t>
  </si>
  <si>
    <t>Ủy Ban Nhân dân huyện Hướng Hóa</t>
  </si>
  <si>
    <t>Ủy Ban Nhân dân huyện Đakrông</t>
  </si>
  <si>
    <t>Ủy Ban Nhân dân huyện Cam Lộ</t>
  </si>
  <si>
    <t>Sở Kế hoạch và Đầu tư</t>
  </si>
  <si>
    <t>Sở Tài Chính</t>
  </si>
  <si>
    <t>Ủy Ban Nhân dân huyện Cồn Cỏ</t>
  </si>
  <si>
    <t xml:space="preserve">Bộ chỉ huy Quân sự tỉnh </t>
  </si>
  <si>
    <t xml:space="preserve">Bộ Chỉ huy Bộ đội Biên phòng tỉnh </t>
  </si>
  <si>
    <t>Công An tỉnh</t>
  </si>
  <si>
    <t xml:space="preserve">Chi giải khát giữa giờ </t>
  </si>
  <si>
    <t xml:space="preserve">Photo tài liệu phục vụ cuộc họp </t>
  </si>
  <si>
    <t xml:space="preserve">Văn phòng phẩm </t>
  </si>
  <si>
    <t>Photo tài liệu phục vụ cuộc họp</t>
  </si>
  <si>
    <t>01 ngày</t>
  </si>
  <si>
    <t>02 người x 19 ngày</t>
  </si>
  <si>
    <t>Chi phí thuê phương tiện đi thực địa</t>
  </si>
  <si>
    <t>Thu thập tài liệu liên quan đến công tác phòng chống thiên tai trên địa bàn tỉnh</t>
  </si>
  <si>
    <t xml:space="preserve">Thu thập tài liệu liên quan đến công tác PCTT  tại thành phố Đông Hà
</t>
  </si>
  <si>
    <t>Thu thập tài liệu liên quan đến công tác PCTT   tại huyện Vĩnh Linh</t>
  </si>
  <si>
    <t>Thu thập tài liệu liên quan đến công tác PCTT   tại huyện huyện Gio Linh</t>
  </si>
  <si>
    <t>Thu thập tài liệu liên quan đến công tác PCTT  tại huyện huyện Triệu Phong</t>
  </si>
  <si>
    <t>Thu thập tài liệu liên quan đến công tác PCTT   tại Thị xã Quảng Trị</t>
  </si>
  <si>
    <t>Thu thập tài liệu liên quan đến công tác PCTT  tại huyện Hải Lăng</t>
  </si>
  <si>
    <t>Thu thập tài liệu liên quan đến công tác PCTT   tại huyện Hướng Hóa</t>
  </si>
  <si>
    <t>Thu thập tài liệu liên quan đến công tác PCTT   tại huyện Đakrông</t>
  </si>
  <si>
    <t>Thu thập tài liệu liên quan đến công tác PCTT   tại huyện Cam Lộ</t>
  </si>
  <si>
    <t>Thu thập tài liệu liên quan đến công tác PCTT  tại huyện Cồn Cỏ</t>
  </si>
  <si>
    <t xml:space="preserve">Xây dựng kế hoạch phòng chống thiên tai và tìm kiếm cứu nạn tỉnh Quảng Trị giai đoạn 2021-2025 </t>
  </si>
  <si>
    <t>Phụ lục 2: Dự toán chi tiết</t>
  </si>
  <si>
    <t>Xem phụ lục 2.1</t>
  </si>
  <si>
    <t>Phụ lục 2.1a: Chiết tính đơn giá công thu thập tài liệu</t>
  </si>
  <si>
    <t>Xem phụ lục 2.2</t>
  </si>
  <si>
    <t>Xem phụ lục 2.3</t>
  </si>
  <si>
    <t>Phụ lục 2.3: Hội thảo lấy ý kiến góp ý sản phẩm (01 ngày)</t>
  </si>
  <si>
    <t>Phụ lục 2.3a: Thành phần đại biểu dự hội thảo</t>
  </si>
  <si>
    <t>Chuyên gia làm báo cáo tổng hợp đặc điểm tự nhiên, điều kiện kinh tế xã hội khu vực (1 người x 01 tháng)</t>
  </si>
  <si>
    <t>Phụ lục 2.1: Chi phí thu thập tài liệu liên quan đến công tác PCTT 
trên địa bàn tỉnh Quảng Trị</t>
  </si>
  <si>
    <t>Ghi chú: Thành phần đại biểu dự hội thảo, xem phụ lục 2.3a kèm theo</t>
  </si>
  <si>
    <t>Phụ cấp lưu trú</t>
  </si>
  <si>
    <t>Người /ngày</t>
  </si>
  <si>
    <r>
      <rPr>
        <b/>
        <sz val="13"/>
        <rFont val="Times New Roman"/>
        <family val="1"/>
      </rPr>
      <t>Phụ lục 2.2:</t>
    </r>
    <r>
      <rPr>
        <sz val="13"/>
        <rFont val="Times New Roman"/>
        <family val="1"/>
      </rPr>
      <t xml:space="preserve"> </t>
    </r>
    <r>
      <rPr>
        <b/>
        <sz val="13"/>
        <rFont val="Times New Roman"/>
        <family val="1"/>
      </rPr>
      <t>Chi tiết khối lượng thuê phương tiện đi thu thập số liệu, khảo sát
Xây dựng Kế hoạch PCTT tỉnh Quảng Trị giai đoạn 2021-2025</t>
    </r>
  </si>
  <si>
    <t>Chi phí thu thập tài liệu, khảo sát thực địa</t>
  </si>
  <si>
    <t>1.1</t>
  </si>
  <si>
    <t>1.2</t>
  </si>
  <si>
    <t>1.3</t>
  </si>
  <si>
    <t>1.4</t>
  </si>
  <si>
    <t>Khoán phòng nghỉ (04 người/2 phòng x 19 đêm )</t>
  </si>
  <si>
    <t>Tổng số công</t>
  </si>
  <si>
    <t xml:space="preserve">Thực hiện khảo sát, thu thập số liệu liên quan đến công tác PCTT tại thành phố Đông Hà
</t>
  </si>
  <si>
    <t>Thực hiện khảo sát, thu thập số liệu liên quan đến công tác PCTT tại huyện Vĩnh Linh</t>
  </si>
  <si>
    <t>Thực hiện khảo sát, thu thập số liệu liên quan đến công tác PCTT tại  huyện Gio Linh</t>
  </si>
  <si>
    <t>Thực hiện khảo sát, thu thập số liệu liên quan đến công tác PCTT tại huyện Triệu Phong</t>
  </si>
  <si>
    <t>Thực hiện khảo sát, thu thập số liệu liên quan đến công tác PCTT tại Thị xã Quảng Trị</t>
  </si>
  <si>
    <t>Thực hiện khảo sát, thu thập số liệu liên quan đến công tác PCTT tại  huyện Hải Lăng</t>
  </si>
  <si>
    <t>Thực hiện khảo sát, thu thập số liệu liên quan đến công tác PCTT tại huyện Hướng Hóa</t>
  </si>
  <si>
    <t>Thực hiện khảo sát, thu thập số liệu liên quan đến công tác PCTT tại huyện Đakrông</t>
  </si>
  <si>
    <t>Thực hiện khảo sát, thu thập số liệu liên quan đến công tác PCTT tại  huyện Cam Lộ</t>
  </si>
  <si>
    <t>Thực hiện khảo sát, thu thập số liệu liên quan đến công tác PCTT tại huyện Cồn Cỏ</t>
  </si>
  <si>
    <t xml:space="preserve">Ghi chú: </t>
  </si>
  <si>
    <t>- Đơn giá chi tiết xem phụ lục 2.1a đính kèm theo</t>
  </si>
  <si>
    <t>(Ba trăm mười chín triệu, một trăm tám mươi ba nghìn đồng chẵn./.)</t>
  </si>
  <si>
    <t>Phụ lục 2.1b: Tổng số công thực hiện khảo sát, thu thập số liệu phục vụ xây dựng
 Kế hoạch PCTT tỉnh Quảng Trị giai đoạn 2021-2025</t>
  </si>
  <si>
    <t>2.1</t>
  </si>
  <si>
    <t>2.2</t>
  </si>
  <si>
    <t>2.3</t>
  </si>
  <si>
    <t>2.4</t>
  </si>
  <si>
    <t>3.1</t>
  </si>
  <si>
    <t>3.2</t>
  </si>
  <si>
    <t>3.3</t>
  </si>
  <si>
    <t>3.4</t>
  </si>
  <si>
    <t>4.1</t>
  </si>
  <si>
    <t>4.2</t>
  </si>
  <si>
    <t>4.3</t>
  </si>
  <si>
    <t>4.4</t>
  </si>
  <si>
    <t>5.1</t>
  </si>
  <si>
    <t>5.2</t>
  </si>
  <si>
    <t>5.3</t>
  </si>
  <si>
    <t>5.4</t>
  </si>
  <si>
    <t>6.1</t>
  </si>
  <si>
    <t>6.2</t>
  </si>
  <si>
    <t>6.3</t>
  </si>
  <si>
    <t>6.4</t>
  </si>
  <si>
    <t>7.1</t>
  </si>
  <si>
    <t>7.2</t>
  </si>
  <si>
    <t>7.3</t>
  </si>
  <si>
    <t>7.4</t>
  </si>
  <si>
    <t>8.1</t>
  </si>
  <si>
    <t>8.2</t>
  </si>
  <si>
    <t>8.3</t>
  </si>
  <si>
    <t>8.4</t>
  </si>
  <si>
    <t>9.1</t>
  </si>
  <si>
    <t>9.2</t>
  </si>
  <si>
    <t>9.3</t>
  </si>
  <si>
    <t>9.4</t>
  </si>
  <si>
    <t>10.1</t>
  </si>
  <si>
    <t>10.2</t>
  </si>
  <si>
    <t>10.3</t>
  </si>
  <si>
    <t>10.4</t>
  </si>
  <si>
    <t>Chuyên gia làm báo cáo tổng hợp diễn biến, thiệt hại thiên tai trên địa bàn tỉnh (1 người x 01tháng)</t>
  </si>
  <si>
    <t>Chuyên gia đánh giá rủi ro, lập kế hoạch phòng chống thiên tai (1 người x 1 tháng)</t>
  </si>
  <si>
    <t>Chuyên gia lập bản đồ rủi ro thiên (2 người x 1,5 tháng)</t>
  </si>
  <si>
    <t>Chuyên gia Lập bản đồ phòng chống thiên tai và tìm kiếm cứu nạn tỉnh Quảng Trị (2  người x 1,5 tháng)</t>
  </si>
  <si>
    <t>- Công thu thập xem phụ lục 2.1b đính kèm theo</t>
  </si>
  <si>
    <t>(Kèm theo Tờ trình số  200  /TTr-SNN ngày  06  tháng  7 năm 2020 của Sở Nông nghiệp và PTNT Quảng Trị)</t>
  </si>
  <si>
    <t>(Kèm theo Tờ trình số  200    /TTr-SNN ngày   06 tháng    7  năm 2020 của Sở Nông nghiệp và PTNT Quảng Trị)</t>
  </si>
  <si>
    <t>(Kèm theo Tờ trình số      200/TTr-SNN ngày    06 tháng   7   năm 2020 của Sở Nông nghiệp và PTNT Quảng Trị)</t>
  </si>
  <si>
    <t>(Kèm theo Tờ trình số 200/TTr-SNN ngày 06 tháng 7  năm 2020 của Sở Nông nghiệp 
và PTNT Quảng Trị)</t>
  </si>
  <si>
    <t>(Kèm theo Tờ trình số    200      /TTr-SNN ngày  06  /7/2020 củaSở Nông nghiệp và PTNT Quảng Trị)</t>
  </si>
  <si>
    <t>(Kèm theo Tờ trình số    200  /TTr-SNN ngày   06  tháng   7   năm 2020 của Sở Nông nghiệp và PTNT Quảng Trị)</t>
  </si>
  <si>
    <t>(Kèm theo Tờ trình số      200/TTr-SNN ngày  06   tháng     7 năm 2020 của Sở Nông nghiệp 
và PTNT Quảng Trị)</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</si>
</sst>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0.0%"/>
    <numFmt numFmtId="182" formatCode="0.0"/>
    <numFmt numFmtId="183" formatCode="#,##0.####;\-#,##0.####"/>
    <numFmt numFmtId="184" formatCode="#,##0.#;\-#,##0.#"/>
    <numFmt numFmtId="185" formatCode="#,##0.#####;\-#,##0.#####"/>
    <numFmt numFmtId="186" formatCode="0.#####\ %;\-0.#####\ %"/>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0"/>
    <numFmt numFmtId="193" formatCode="_(* #,##0.0_);_(* \(#,##0.0\);_(* &quot;-&quot;??_);_(@_)"/>
    <numFmt numFmtId="194" formatCode="_(* #,##0.000_);_(* \(#,##0.000\);_(* &quot;-&quot;??_);_(@_)"/>
    <numFmt numFmtId="195" formatCode="0.000000"/>
    <numFmt numFmtId="196" formatCode="0.00000"/>
    <numFmt numFmtId="197" formatCode="0.0000"/>
    <numFmt numFmtId="198" formatCode="0.000"/>
    <numFmt numFmtId="199" formatCode="#,##0.0"/>
    <numFmt numFmtId="200" formatCode="#,###"/>
    <numFmt numFmtId="201" formatCode="0.0000%"/>
    <numFmt numFmtId="202" formatCode="_(* #,##0.0000_);_(* \(#,##0.0000\);_(* &quot;-&quot;??_);_(@_)"/>
    <numFmt numFmtId="203" formatCode="#,##0.00000000"/>
    <numFmt numFmtId="204" formatCode="0.000%"/>
  </numFmts>
  <fonts count="108">
    <font>
      <sz val="11"/>
      <color theme="1"/>
      <name val="Calibri"/>
      <family val="2"/>
    </font>
    <font>
      <sz val="11"/>
      <color indexed="8"/>
      <name val="Calibri"/>
      <family val="2"/>
    </font>
    <font>
      <sz val="11"/>
      <name val="Times New Roman"/>
      <family val="1"/>
    </font>
    <font>
      <b/>
      <sz val="11"/>
      <name val="Times New Roman"/>
      <family val="1"/>
    </font>
    <font>
      <b/>
      <i/>
      <sz val="11"/>
      <name val="Times New Roman"/>
      <family val="1"/>
    </font>
    <font>
      <sz val="11"/>
      <name val="Arial"/>
      <family val="2"/>
    </font>
    <font>
      <sz val="10"/>
      <name val="Arial"/>
      <family val="2"/>
    </font>
    <font>
      <b/>
      <sz val="13"/>
      <name val="Times New Roman"/>
      <family val="1"/>
    </font>
    <font>
      <i/>
      <sz val="11"/>
      <name val="Times New Roman"/>
      <family val="1"/>
    </font>
    <font>
      <sz val="8.25"/>
      <name val="Microsoft Sans Serif"/>
      <family val="2"/>
    </font>
    <font>
      <b/>
      <sz val="15"/>
      <name val="Times New Roman"/>
      <family val="1"/>
    </font>
    <font>
      <sz val="10"/>
      <color indexed="23"/>
      <name val="Arial"/>
      <family val="2"/>
    </font>
    <font>
      <b/>
      <sz val="12"/>
      <name val="Times New Roman"/>
      <family val="1"/>
    </font>
    <font>
      <sz val="10"/>
      <color indexed="8"/>
      <name val="Arial"/>
      <family val="2"/>
    </font>
    <font>
      <b/>
      <sz val="10"/>
      <color indexed="25"/>
      <name val="Times New Roman"/>
      <family val="1"/>
    </font>
    <font>
      <sz val="8.25"/>
      <color indexed="8"/>
      <name val="Microsoft Sans Serif"/>
      <family val="2"/>
    </font>
    <font>
      <sz val="12"/>
      <color indexed="8"/>
      <name val="Times New Roman"/>
      <family val="1"/>
    </font>
    <font>
      <vertAlign val="superscript"/>
      <sz val="12"/>
      <color indexed="8"/>
      <name val="Times New Roman"/>
      <family val="1"/>
    </font>
    <font>
      <sz val="11"/>
      <color indexed="27"/>
      <name val="Times New Roman"/>
      <family val="1"/>
    </font>
    <font>
      <b/>
      <sz val="11"/>
      <color indexed="27"/>
      <name val="Times New Roman"/>
      <family val="1"/>
    </font>
    <font>
      <sz val="11"/>
      <color indexed="8"/>
      <name val="Arial"/>
      <family val="2"/>
    </font>
    <font>
      <b/>
      <sz val="11"/>
      <color indexed="25"/>
      <name val="Times New Roman"/>
      <family val="1"/>
    </font>
    <font>
      <b/>
      <i/>
      <sz val="13"/>
      <color indexed="8"/>
      <name val="Times New Roman"/>
      <family val="1"/>
    </font>
    <font>
      <b/>
      <i/>
      <sz val="7"/>
      <color indexed="8"/>
      <name val="Times New Roman"/>
      <family val="1"/>
    </font>
    <font>
      <sz val="13"/>
      <color indexed="8"/>
      <name val="Times New Roman"/>
      <family val="1"/>
    </font>
    <font>
      <sz val="7"/>
      <color indexed="8"/>
      <name val="Times New Roman"/>
      <family val="1"/>
    </font>
    <font>
      <sz val="13"/>
      <name val="Times New Roman"/>
      <family val="1"/>
    </font>
    <font>
      <b/>
      <sz val="14"/>
      <name val="Times New Roman"/>
      <family val="1"/>
    </font>
    <font>
      <sz val="14"/>
      <name val="Times New Roman"/>
      <family val="1"/>
    </font>
    <font>
      <b/>
      <i/>
      <sz val="13"/>
      <name val="Times New Roman"/>
      <family val="1"/>
    </font>
    <font>
      <i/>
      <sz val="13"/>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14"/>
      <color indexed="8"/>
      <name val="Times New Roman"/>
      <family val="1"/>
    </font>
    <font>
      <sz val="14"/>
      <color indexed="8"/>
      <name val="Times New Roman"/>
      <family val="1"/>
    </font>
    <font>
      <b/>
      <sz val="13"/>
      <color indexed="8"/>
      <name val="Times New Roman"/>
      <family val="1"/>
    </font>
    <font>
      <b/>
      <sz val="12"/>
      <color indexed="8"/>
      <name val="Times New Roman"/>
      <family val="1"/>
    </font>
    <font>
      <sz val="12"/>
      <color indexed="8"/>
      <name val=".VnTime"/>
      <family val="2"/>
    </font>
    <font>
      <b/>
      <sz val="12"/>
      <color indexed="8"/>
      <name val=".VnTime"/>
      <family val="2"/>
    </font>
    <font>
      <i/>
      <sz val="11"/>
      <color indexed="8"/>
      <name val="Times New Roman"/>
      <family val="1"/>
    </font>
    <font>
      <i/>
      <sz val="12"/>
      <color indexed="8"/>
      <name val="Times New Roman"/>
      <family val="1"/>
    </font>
    <font>
      <b/>
      <i/>
      <sz val="12"/>
      <color indexed="8"/>
      <name val=".VnTime"/>
      <family val="2"/>
    </font>
    <font>
      <b/>
      <i/>
      <sz val="12"/>
      <color indexed="8"/>
      <name val="Times New Roman"/>
      <family val="1"/>
    </font>
    <font>
      <b/>
      <sz val="9"/>
      <color indexed="8"/>
      <name val="Arial"/>
      <family val="2"/>
    </font>
    <font>
      <b/>
      <i/>
      <sz val="11"/>
      <color indexed="8"/>
      <name val="Times New Roman"/>
      <family val="1"/>
    </font>
    <font>
      <sz val="11"/>
      <color indexed="10"/>
      <name val="Times New Roman"/>
      <family val="1"/>
    </font>
    <font>
      <sz val="14"/>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4"/>
      <color theme="1"/>
      <name val="Times New Roman"/>
      <family val="1"/>
    </font>
    <font>
      <sz val="14"/>
      <color theme="1"/>
      <name val="Times New Roman"/>
      <family val="1"/>
    </font>
    <font>
      <b/>
      <sz val="13"/>
      <color theme="1"/>
      <name val="Times New Roman"/>
      <family val="1"/>
    </font>
    <font>
      <sz val="12"/>
      <color theme="1"/>
      <name val="Times New Roman"/>
      <family val="1"/>
    </font>
    <font>
      <b/>
      <sz val="12"/>
      <color theme="1"/>
      <name val="Times New Roman"/>
      <family val="1"/>
    </font>
    <font>
      <sz val="12"/>
      <color theme="1"/>
      <name val=".VnTime"/>
      <family val="2"/>
    </font>
    <font>
      <b/>
      <sz val="12"/>
      <color theme="1"/>
      <name val=".VnTime"/>
      <family val="2"/>
    </font>
    <font>
      <i/>
      <sz val="11"/>
      <color theme="1"/>
      <name val="Times New Roman"/>
      <family val="1"/>
    </font>
    <font>
      <i/>
      <sz val="12"/>
      <color theme="1"/>
      <name val="Times New Roman"/>
      <family val="1"/>
    </font>
    <font>
      <b/>
      <i/>
      <sz val="12"/>
      <color theme="1"/>
      <name val=".VnTime"/>
      <family val="2"/>
    </font>
    <font>
      <sz val="13"/>
      <color theme="1"/>
      <name val="Times New Roman"/>
      <family val="1"/>
    </font>
    <font>
      <b/>
      <i/>
      <sz val="12"/>
      <color theme="1"/>
      <name val="Times New Roman"/>
      <family val="1"/>
    </font>
    <font>
      <b/>
      <sz val="9"/>
      <color theme="1"/>
      <name val="Arial"/>
      <family val="2"/>
    </font>
    <font>
      <b/>
      <i/>
      <sz val="11"/>
      <color theme="1"/>
      <name val="Times New Roman"/>
      <family val="1"/>
    </font>
    <font>
      <b/>
      <i/>
      <sz val="13"/>
      <color rgb="FF000000"/>
      <name val="Times New Roman"/>
      <family val="1"/>
    </font>
    <font>
      <sz val="13"/>
      <color rgb="FF000000"/>
      <name val="Times New Roman"/>
      <family val="1"/>
    </font>
    <font>
      <b/>
      <sz val="13"/>
      <color rgb="FF000000"/>
      <name val="Times New Roman"/>
      <family val="1"/>
    </font>
    <font>
      <sz val="11"/>
      <color rgb="FFFF0000"/>
      <name val="Times New Roman"/>
      <family val="1"/>
    </font>
    <font>
      <sz val="14"/>
      <color theme="1"/>
      <name val="Calibri"/>
      <family val="2"/>
    </font>
    <font>
      <b/>
      <sz val="1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dotted">
        <color indexed="8"/>
      </top>
      <bottom style="dotted">
        <color indexed="8"/>
      </bottom>
    </border>
    <border>
      <left/>
      <right style="thin">
        <color indexed="8"/>
      </right>
      <top style="dotted">
        <color indexed="8"/>
      </top>
      <bottom style="dotted">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ck"/>
      <right style="medium"/>
      <top style="thick"/>
      <bottom style="medium"/>
    </border>
    <border>
      <left/>
      <right style="medium"/>
      <top style="thick"/>
      <bottom style="medium"/>
    </border>
    <border>
      <left/>
      <right style="thick"/>
      <top style="thick"/>
      <bottom style="medium"/>
    </border>
    <border>
      <left style="thick"/>
      <right style="medium"/>
      <top/>
      <bottom style="medium"/>
    </border>
    <border>
      <left/>
      <right style="medium"/>
      <top/>
      <bottom style="medium"/>
    </border>
    <border>
      <left/>
      <right style="thick"/>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right/>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border>
    <border>
      <left/>
      <right/>
      <top style="thin">
        <color indexed="8"/>
      </top>
      <bottom style="thin">
        <color indexed="8"/>
      </bottom>
    </border>
    <border>
      <left/>
      <right style="thin">
        <color indexed="8"/>
      </right>
      <top style="thin">
        <color indexed="8"/>
      </top>
      <bottom/>
    </border>
    <border>
      <left style="medium"/>
      <right>
        <color indexed="63"/>
      </right>
      <top style="medium"/>
      <bottom style="medium"/>
    </border>
    <border>
      <left style="medium"/>
      <right style="medium"/>
      <top style="medium"/>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9" fillId="0" borderId="0">
      <alignment/>
      <protection locked="0"/>
    </xf>
    <xf numFmtId="0" fontId="0" fillId="0" borderId="0">
      <alignment/>
      <protection/>
    </xf>
    <xf numFmtId="0" fontId="6"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09">
    <xf numFmtId="0" fontId="0" fillId="0" borderId="0" xfId="0" applyFont="1" applyAlignment="1">
      <alignment/>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righ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3" fontId="2" fillId="0" borderId="10" xfId="0" applyNumberFormat="1" applyFont="1" applyFill="1" applyBorder="1" applyAlignment="1">
      <alignment horizontal="right" vertical="center"/>
    </xf>
    <xf numFmtId="0" fontId="0" fillId="0" borderId="10" xfId="0" applyFont="1" applyFill="1" applyBorder="1" applyAlignment="1">
      <alignment horizontal="center"/>
    </xf>
    <xf numFmtId="0" fontId="85" fillId="0" borderId="10" xfId="0" applyFont="1" applyBorder="1" applyAlignment="1">
      <alignment horizontal="center" vertical="center"/>
    </xf>
    <xf numFmtId="0" fontId="85" fillId="0" borderId="10" xfId="0" applyFont="1" applyBorder="1" applyAlignment="1">
      <alignment horizontal="center" vertical="center" wrapText="1"/>
    </xf>
    <xf numFmtId="0" fontId="86" fillId="0" borderId="10" xfId="0" applyFont="1" applyBorder="1" applyAlignment="1">
      <alignment horizontal="center" vertical="center"/>
    </xf>
    <xf numFmtId="0" fontId="6" fillId="0" borderId="0" xfId="58" applyFont="1" applyAlignment="1">
      <alignment vertical="top"/>
      <protection locked="0"/>
    </xf>
    <xf numFmtId="0" fontId="11" fillId="0" borderId="0" xfId="58" applyFont="1" applyAlignment="1" applyProtection="1">
      <alignment horizontal="center" vertical="top"/>
      <protection/>
    </xf>
    <xf numFmtId="3" fontId="13" fillId="0" borderId="11" xfId="58" applyNumberFormat="1" applyFont="1" applyBorder="1" applyAlignment="1">
      <alignment horizontal="center" vertical="top" wrapText="1"/>
      <protection locked="0"/>
    </xf>
    <xf numFmtId="0" fontId="13" fillId="0" borderId="12" xfId="58" applyFont="1" applyBorder="1" applyAlignment="1">
      <alignment vertical="top" wrapText="1"/>
      <protection locked="0"/>
    </xf>
    <xf numFmtId="0" fontId="14" fillId="0" borderId="12" xfId="58" applyFont="1" applyBorder="1" applyAlignment="1">
      <alignment horizontal="center" vertical="top" wrapText="1"/>
      <protection locked="0"/>
    </xf>
    <xf numFmtId="183" fontId="13" fillId="0" borderId="12" xfId="58" applyNumberFormat="1" applyFont="1" applyBorder="1" applyAlignment="1">
      <alignment horizontal="right" vertical="top" wrapText="1"/>
      <protection locked="0"/>
    </xf>
    <xf numFmtId="3" fontId="14" fillId="0" borderId="12" xfId="58" applyNumberFormat="1" applyFont="1" applyBorder="1" applyAlignment="1">
      <alignment horizontal="center" vertical="top" wrapText="1"/>
      <protection locked="0"/>
    </xf>
    <xf numFmtId="184" fontId="13" fillId="0" borderId="12" xfId="58" applyNumberFormat="1" applyFont="1" applyBorder="1" applyAlignment="1">
      <alignment horizontal="right" vertical="top" wrapText="1"/>
      <protection locked="0"/>
    </xf>
    <xf numFmtId="0" fontId="13" fillId="0" borderId="12" xfId="58" applyFont="1" applyBorder="1" applyAlignment="1">
      <alignment horizontal="center" vertical="top" wrapText="1"/>
      <protection locked="0"/>
    </xf>
    <xf numFmtId="0" fontId="13" fillId="0" borderId="12" xfId="58" applyFont="1" applyBorder="1" applyAlignment="1">
      <alignment horizontal="left" vertical="top" wrapText="1"/>
      <protection locked="0"/>
    </xf>
    <xf numFmtId="185" fontId="13" fillId="0" borderId="12" xfId="58" applyNumberFormat="1" applyFont="1" applyBorder="1" applyAlignment="1">
      <alignment horizontal="right" vertical="top" wrapText="1"/>
      <protection locked="0"/>
    </xf>
    <xf numFmtId="3" fontId="13" fillId="0" borderId="13" xfId="58" applyNumberFormat="1" applyFont="1" applyBorder="1" applyAlignment="1">
      <alignment horizontal="center" vertical="top" wrapText="1"/>
      <protection locked="0"/>
    </xf>
    <xf numFmtId="0" fontId="13" fillId="0" borderId="14" xfId="58" applyFont="1" applyBorder="1" applyAlignment="1">
      <alignment vertical="top" wrapText="1"/>
      <protection locked="0"/>
    </xf>
    <xf numFmtId="0" fontId="14" fillId="0" borderId="14" xfId="58" applyFont="1" applyBorder="1" applyAlignment="1">
      <alignment horizontal="center" vertical="top" wrapText="1"/>
      <protection locked="0"/>
    </xf>
    <xf numFmtId="183" fontId="13" fillId="0" borderId="14" xfId="58" applyNumberFormat="1" applyFont="1" applyBorder="1" applyAlignment="1">
      <alignment horizontal="right" vertical="top" wrapText="1"/>
      <protection locked="0"/>
    </xf>
    <xf numFmtId="3" fontId="14" fillId="0" borderId="14" xfId="58" applyNumberFormat="1" applyFont="1" applyBorder="1" applyAlignment="1">
      <alignment horizontal="center" vertical="top" wrapText="1"/>
      <protection locked="0"/>
    </xf>
    <xf numFmtId="184" fontId="13" fillId="0" borderId="14" xfId="58" applyNumberFormat="1" applyFont="1" applyBorder="1" applyAlignment="1">
      <alignment horizontal="right" vertical="top" wrapText="1"/>
      <protection locked="0"/>
    </xf>
    <xf numFmtId="0" fontId="9" fillId="0" borderId="0" xfId="58" applyFont="1" applyAlignment="1">
      <alignment vertical="top"/>
      <protection locked="0"/>
    </xf>
    <xf numFmtId="0" fontId="3" fillId="0" borderId="15" xfId="58" applyFont="1" applyFill="1" applyBorder="1" applyAlignment="1">
      <alignment horizontal="center" vertical="center"/>
      <protection locked="0"/>
    </xf>
    <xf numFmtId="0" fontId="11" fillId="0" borderId="0" xfId="58" applyFont="1" applyFill="1" applyAlignment="1" applyProtection="1">
      <alignment horizontal="center" vertical="top"/>
      <protection/>
    </xf>
    <xf numFmtId="0" fontId="6" fillId="0" borderId="0" xfId="58" applyFont="1" applyFill="1" applyAlignment="1">
      <alignment vertical="top"/>
      <protection locked="0"/>
    </xf>
    <xf numFmtId="0" fontId="3" fillId="0" borderId="14" xfId="58" applyFont="1" applyFill="1" applyBorder="1" applyAlignment="1">
      <alignment horizontal="center" vertical="center"/>
      <protection locked="0"/>
    </xf>
    <xf numFmtId="0" fontId="6" fillId="0" borderId="0" xfId="58" applyFont="1" applyFill="1" applyAlignment="1">
      <alignment horizontal="center" vertical="top"/>
      <protection locked="0"/>
    </xf>
    <xf numFmtId="0" fontId="9" fillId="0" borderId="0" xfId="58" applyFont="1" applyFill="1" applyAlignment="1">
      <alignment vertical="top"/>
      <protection locked="0"/>
    </xf>
    <xf numFmtId="3" fontId="8"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5" fillId="0" borderId="10" xfId="0" applyFont="1" applyFill="1" applyBorder="1" applyAlignment="1">
      <alignment horizontal="center"/>
    </xf>
    <xf numFmtId="0" fontId="87" fillId="0" borderId="0" xfId="0" applyFont="1" applyAlignment="1">
      <alignment horizontal="left"/>
    </xf>
    <xf numFmtId="0" fontId="0" fillId="0" borderId="0" xfId="0" applyAlignment="1">
      <alignment horizontal="left"/>
    </xf>
    <xf numFmtId="0" fontId="88" fillId="0" borderId="0" xfId="0" applyFont="1" applyAlignment="1">
      <alignment horizontal="left"/>
    </xf>
    <xf numFmtId="180" fontId="88" fillId="0" borderId="0" xfId="42" applyNumberFormat="1" applyFont="1" applyAlignment="1">
      <alignment horizontal="left"/>
    </xf>
    <xf numFmtId="0" fontId="89" fillId="0" borderId="0" xfId="0" applyFont="1" applyAlignment="1">
      <alignment horizontal="left"/>
    </xf>
    <xf numFmtId="180" fontId="87" fillId="0" borderId="0" xfId="42" applyNumberFormat="1" applyFont="1" applyAlignment="1">
      <alignment horizontal="left"/>
    </xf>
    <xf numFmtId="0" fontId="83" fillId="0" borderId="0" xfId="0" applyFont="1" applyAlignment="1">
      <alignment horizontal="left"/>
    </xf>
    <xf numFmtId="0" fontId="90" fillId="0" borderId="0" xfId="0" applyFont="1" applyAlignment="1">
      <alignment horizontal="left"/>
    </xf>
    <xf numFmtId="0" fontId="91" fillId="0" borderId="10" xfId="0" applyFont="1" applyBorder="1" applyAlignment="1">
      <alignment horizontal="center"/>
    </xf>
    <xf numFmtId="0" fontId="91" fillId="0" borderId="10" xfId="0" applyFont="1" applyBorder="1" applyAlignment="1">
      <alignment horizontal="center" wrapText="1"/>
    </xf>
    <xf numFmtId="0" fontId="90" fillId="0" borderId="10" xfId="0" applyFont="1" applyBorder="1" applyAlignment="1">
      <alignment horizontal="center"/>
    </xf>
    <xf numFmtId="0" fontId="90" fillId="0" borderId="10" xfId="0" applyFont="1" applyBorder="1" applyAlignment="1">
      <alignment horizontal="center" wrapText="1"/>
    </xf>
    <xf numFmtId="0" fontId="92" fillId="0" borderId="10" xfId="0" applyFont="1" applyBorder="1" applyAlignment="1">
      <alignment horizontal="center"/>
    </xf>
    <xf numFmtId="180" fontId="90" fillId="0" borderId="10" xfId="42" applyNumberFormat="1" applyFont="1" applyBorder="1" applyAlignment="1">
      <alignment horizontal="center"/>
    </xf>
    <xf numFmtId="0" fontId="93" fillId="0" borderId="10" xfId="0" applyFont="1" applyBorder="1" applyAlignment="1">
      <alignment horizontal="center"/>
    </xf>
    <xf numFmtId="180" fontId="91" fillId="0" borderId="10" xfId="0" applyNumberFormat="1" applyFont="1" applyBorder="1" applyAlignment="1">
      <alignment horizontal="center"/>
    </xf>
    <xf numFmtId="180" fontId="91" fillId="0" borderId="10" xfId="42" applyNumberFormat="1" applyFont="1" applyBorder="1" applyAlignment="1">
      <alignment horizontal="center"/>
    </xf>
    <xf numFmtId="0" fontId="90" fillId="0" borderId="0" xfId="0" applyFont="1" applyBorder="1" applyAlignment="1">
      <alignment horizontal="center"/>
    </xf>
    <xf numFmtId="0" fontId="0" fillId="0" borderId="0" xfId="0" applyBorder="1" applyAlignment="1">
      <alignment/>
    </xf>
    <xf numFmtId="0" fontId="91" fillId="0" borderId="0" xfId="0" applyFont="1" applyBorder="1" applyAlignment="1">
      <alignment horizontal="center"/>
    </xf>
    <xf numFmtId="0" fontId="91" fillId="0" borderId="0" xfId="0" applyFont="1" applyBorder="1" applyAlignment="1">
      <alignment horizontal="center" wrapText="1"/>
    </xf>
    <xf numFmtId="0" fontId="0" fillId="0" borderId="0" xfId="0" applyBorder="1" applyAlignment="1">
      <alignment wrapText="1"/>
    </xf>
    <xf numFmtId="0" fontId="90" fillId="0" borderId="0" xfId="0" applyFont="1" applyBorder="1" applyAlignment="1">
      <alignment/>
    </xf>
    <xf numFmtId="0" fontId="94" fillId="0" borderId="0" xfId="0" applyFont="1" applyBorder="1" applyAlignment="1">
      <alignment/>
    </xf>
    <xf numFmtId="0" fontId="92" fillId="0" borderId="0" xfId="0" applyFont="1" applyBorder="1" applyAlignment="1">
      <alignment horizontal="center"/>
    </xf>
    <xf numFmtId="0" fontId="95" fillId="0" borderId="0" xfId="0" applyFont="1" applyBorder="1" applyAlignment="1">
      <alignment horizontal="center"/>
    </xf>
    <xf numFmtId="0" fontId="93" fillId="0" borderId="0" xfId="0" applyFont="1" applyBorder="1" applyAlignment="1">
      <alignment horizontal="center"/>
    </xf>
    <xf numFmtId="0" fontId="90" fillId="0" borderId="0" xfId="0" applyFont="1" applyBorder="1" applyAlignment="1">
      <alignment horizontal="center" wrapText="1"/>
    </xf>
    <xf numFmtId="0" fontId="95" fillId="0" borderId="0" xfId="0" applyFont="1" applyBorder="1" applyAlignment="1">
      <alignment/>
    </xf>
    <xf numFmtId="0" fontId="90" fillId="0" borderId="0" xfId="0" applyFont="1" applyBorder="1" applyAlignment="1">
      <alignment horizontal="right"/>
    </xf>
    <xf numFmtId="0" fontId="91" fillId="0" borderId="0" xfId="0" applyFont="1" applyBorder="1" applyAlignment="1">
      <alignment/>
    </xf>
    <xf numFmtId="0" fontId="95" fillId="0" borderId="0" xfId="0" applyFont="1" applyBorder="1" applyAlignment="1">
      <alignment horizontal="center" wrapText="1"/>
    </xf>
    <xf numFmtId="0" fontId="96" fillId="0" borderId="0" xfId="0" applyFont="1" applyBorder="1" applyAlignment="1">
      <alignment horizontal="center" wrapText="1"/>
    </xf>
    <xf numFmtId="0" fontId="94" fillId="0" borderId="0" xfId="0" applyFont="1" applyBorder="1" applyAlignment="1">
      <alignment horizontal="center"/>
    </xf>
    <xf numFmtId="0" fontId="97" fillId="0" borderId="0" xfId="0" applyFont="1" applyBorder="1" applyAlignment="1">
      <alignment/>
    </xf>
    <xf numFmtId="180" fontId="90" fillId="0" borderId="0" xfId="42" applyNumberFormat="1" applyFont="1" applyBorder="1" applyAlignment="1">
      <alignment horizontal="right"/>
    </xf>
    <xf numFmtId="180" fontId="91" fillId="0" borderId="0" xfId="42" applyNumberFormat="1" applyFont="1" applyBorder="1" applyAlignment="1">
      <alignment horizontal="right"/>
    </xf>
    <xf numFmtId="0" fontId="98" fillId="0" borderId="0" xfId="0" applyFont="1" applyBorder="1" applyAlignment="1">
      <alignment/>
    </xf>
    <xf numFmtId="180" fontId="98" fillId="0" borderId="0" xfId="42" applyNumberFormat="1" applyFont="1" applyBorder="1" applyAlignment="1">
      <alignment horizontal="right"/>
    </xf>
    <xf numFmtId="0" fontId="88" fillId="0" borderId="0" xfId="0" applyFont="1" applyBorder="1" applyAlignment="1">
      <alignment horizontal="left"/>
    </xf>
    <xf numFmtId="0" fontId="97" fillId="0" borderId="0" xfId="0" applyFont="1" applyBorder="1" applyAlignment="1">
      <alignment horizontal="left"/>
    </xf>
    <xf numFmtId="0" fontId="99" fillId="0" borderId="0" xfId="0" applyFont="1" applyBorder="1" applyAlignment="1">
      <alignment wrapText="1"/>
    </xf>
    <xf numFmtId="0" fontId="85" fillId="0" borderId="0" xfId="0" applyFont="1" applyBorder="1" applyAlignment="1">
      <alignment/>
    </xf>
    <xf numFmtId="0" fontId="90" fillId="0" borderId="16" xfId="0" applyFont="1" applyBorder="1" applyAlignment="1">
      <alignment horizontal="center" wrapText="1"/>
    </xf>
    <xf numFmtId="0" fontId="90" fillId="0" borderId="17" xfId="0" applyFont="1" applyBorder="1" applyAlignment="1">
      <alignment horizontal="center" wrapText="1"/>
    </xf>
    <xf numFmtId="0" fontId="90" fillId="0" borderId="18" xfId="0" applyFont="1" applyBorder="1" applyAlignment="1">
      <alignment horizontal="center" wrapText="1"/>
    </xf>
    <xf numFmtId="0" fontId="90" fillId="0" borderId="19" xfId="0" applyFont="1" applyBorder="1" applyAlignment="1">
      <alignment horizontal="center" wrapText="1"/>
    </xf>
    <xf numFmtId="0" fontId="90" fillId="0" borderId="20" xfId="0" applyFont="1" applyBorder="1" applyAlignment="1">
      <alignment horizontal="center" wrapText="1"/>
    </xf>
    <xf numFmtId="0" fontId="90" fillId="0" borderId="21" xfId="0" applyFont="1" applyBorder="1" applyAlignment="1">
      <alignment horizontal="center" wrapText="1"/>
    </xf>
    <xf numFmtId="0" fontId="91" fillId="0" borderId="0" xfId="0" applyFont="1" applyBorder="1" applyAlignment="1">
      <alignment horizontal="right"/>
    </xf>
    <xf numFmtId="0" fontId="98" fillId="0" borderId="0" xfId="0" applyFont="1" applyBorder="1" applyAlignment="1">
      <alignment horizontal="center"/>
    </xf>
    <xf numFmtId="0" fontId="95" fillId="0" borderId="0" xfId="0" applyFont="1" applyBorder="1" applyAlignment="1">
      <alignment wrapText="1"/>
    </xf>
    <xf numFmtId="0" fontId="98" fillId="0" borderId="0" xfId="0" applyFont="1" applyBorder="1" applyAlignment="1">
      <alignment horizontal="center" wrapText="1"/>
    </xf>
    <xf numFmtId="0" fontId="100" fillId="0" borderId="0" xfId="0" applyFont="1" applyBorder="1" applyAlignment="1">
      <alignment/>
    </xf>
    <xf numFmtId="0" fontId="88" fillId="0" borderId="0" xfId="0" applyFont="1" applyBorder="1" applyAlignment="1">
      <alignment horizontal="justify"/>
    </xf>
    <xf numFmtId="0" fontId="85" fillId="0" borderId="0" xfId="0" applyFont="1" applyBorder="1" applyAlignment="1">
      <alignment horizontal="center" wrapText="1"/>
    </xf>
    <xf numFmtId="180" fontId="95" fillId="0" borderId="0" xfId="42" applyNumberFormat="1" applyFont="1" applyBorder="1" applyAlignment="1">
      <alignment horizontal="right"/>
    </xf>
    <xf numFmtId="180" fontId="0" fillId="0" borderId="0" xfId="42" applyNumberFormat="1" applyFont="1" applyBorder="1" applyAlignment="1">
      <alignment/>
    </xf>
    <xf numFmtId="0" fontId="94" fillId="0" borderId="10" xfId="0" applyFont="1" applyFill="1" applyBorder="1" applyAlignment="1">
      <alignment horizontal="center" vertical="center" wrapText="1"/>
    </xf>
    <xf numFmtId="0" fontId="3" fillId="0" borderId="10" xfId="58" applyFont="1" applyFill="1" applyBorder="1" applyAlignment="1">
      <alignment horizontal="center" vertical="center"/>
      <protection locked="0"/>
    </xf>
    <xf numFmtId="0" fontId="2" fillId="0" borderId="10" xfId="58" applyFont="1" applyBorder="1" applyAlignment="1">
      <alignment horizontal="center" vertical="top" wrapText="1"/>
      <protection locked="0"/>
    </xf>
    <xf numFmtId="0" fontId="8" fillId="0" borderId="10" xfId="58" applyFont="1" applyBorder="1" applyAlignment="1">
      <alignment horizontal="center" vertical="top"/>
      <protection locked="0"/>
    </xf>
    <xf numFmtId="0" fontId="8" fillId="0" borderId="10" xfId="58" applyFont="1" applyBorder="1" applyAlignment="1">
      <alignment vertical="top" wrapText="1"/>
      <protection locked="0"/>
    </xf>
    <xf numFmtId="0" fontId="8" fillId="0" borderId="10" xfId="58" applyFont="1" applyBorder="1" applyAlignment="1">
      <alignment horizontal="center" vertical="top" wrapText="1"/>
      <protection locked="0"/>
    </xf>
    <xf numFmtId="0" fontId="8" fillId="0" borderId="10" xfId="58" applyFont="1" applyBorder="1" applyAlignment="1">
      <alignment vertical="top"/>
      <protection locked="0"/>
    </xf>
    <xf numFmtId="0" fontId="2" fillId="0" borderId="10" xfId="58" applyFont="1" applyBorder="1" applyAlignment="1">
      <alignment horizontal="center" vertical="top"/>
      <protection locked="0"/>
    </xf>
    <xf numFmtId="0" fontId="2" fillId="0" borderId="10" xfId="58" applyFont="1" applyBorder="1" applyAlignment="1">
      <alignment vertical="top" wrapText="1"/>
      <protection locked="0"/>
    </xf>
    <xf numFmtId="0" fontId="2" fillId="0" borderId="10" xfId="58" applyFont="1" applyBorder="1" applyAlignment="1">
      <alignment vertical="top"/>
      <protection locked="0"/>
    </xf>
    <xf numFmtId="184" fontId="2" fillId="0" borderId="10" xfId="58" applyNumberFormat="1" applyFont="1" applyBorder="1" applyAlignment="1">
      <alignment vertical="top" wrapText="1"/>
      <protection locked="0"/>
    </xf>
    <xf numFmtId="49" fontId="8" fillId="0" borderId="10" xfId="58" applyNumberFormat="1" applyFont="1" applyBorder="1" applyAlignment="1">
      <alignment horizontal="center" vertical="top" wrapText="1"/>
      <protection locked="0"/>
    </xf>
    <xf numFmtId="0" fontId="4" fillId="0" borderId="10" xfId="58" applyFont="1" applyBorder="1" applyAlignment="1">
      <alignment horizontal="center" vertical="top"/>
      <protection locked="0"/>
    </xf>
    <xf numFmtId="0" fontId="4" fillId="0" borderId="10" xfId="58" applyFont="1" applyBorder="1" applyAlignment="1">
      <alignment vertical="top" wrapText="1"/>
      <protection locked="0"/>
    </xf>
    <xf numFmtId="0" fontId="4" fillId="0" borderId="10" xfId="58" applyFont="1" applyBorder="1" applyAlignment="1">
      <alignment horizontal="center" vertical="top" wrapText="1"/>
      <protection locked="0"/>
    </xf>
    <xf numFmtId="0" fontId="4" fillId="0" borderId="10" xfId="58" applyFont="1" applyBorder="1" applyAlignment="1">
      <alignment vertical="top"/>
      <protection locked="0"/>
    </xf>
    <xf numFmtId="49" fontId="4" fillId="0" borderId="10" xfId="58" applyNumberFormat="1" applyFont="1" applyBorder="1" applyAlignment="1">
      <alignment horizontal="center" vertical="top" wrapText="1"/>
      <protection locked="0"/>
    </xf>
    <xf numFmtId="186" fontId="4" fillId="0" borderId="10" xfId="58" applyNumberFormat="1" applyFont="1" applyBorder="1" applyAlignment="1">
      <alignment vertical="top" wrapText="1"/>
      <protection locked="0"/>
    </xf>
    <xf numFmtId="186" fontId="4" fillId="0" borderId="10" xfId="58" applyNumberFormat="1" applyFont="1" applyBorder="1" applyAlignment="1">
      <alignment horizontal="center" vertical="top" wrapText="1"/>
      <protection locked="0"/>
    </xf>
    <xf numFmtId="0" fontId="3" fillId="0" borderId="10" xfId="58" applyFont="1" applyBorder="1" applyAlignment="1">
      <alignment horizontal="center" vertical="top"/>
      <protection locked="0"/>
    </xf>
    <xf numFmtId="0" fontId="3" fillId="0" borderId="10" xfId="58" applyFont="1" applyBorder="1" applyAlignment="1">
      <alignment vertical="top" wrapText="1"/>
      <protection locked="0"/>
    </xf>
    <xf numFmtId="0" fontId="3" fillId="0" borderId="10" xfId="58" applyFont="1" applyBorder="1" applyAlignment="1">
      <alignment horizontal="center" vertical="top" wrapText="1"/>
      <protection locked="0"/>
    </xf>
    <xf numFmtId="0" fontId="3" fillId="0" borderId="10" xfId="58" applyFont="1" applyBorder="1" applyAlignment="1">
      <alignment vertical="top"/>
      <protection locked="0"/>
    </xf>
    <xf numFmtId="0" fontId="18" fillId="0" borderId="10" xfId="58" applyFont="1" applyBorder="1" applyAlignment="1">
      <alignment horizontal="center" vertical="center" wrapText="1"/>
      <protection locked="0"/>
    </xf>
    <xf numFmtId="49" fontId="2" fillId="0" borderId="10" xfId="58" applyNumberFormat="1" applyFont="1" applyBorder="1" applyAlignment="1">
      <alignment horizontal="center" vertical="top" wrapText="1"/>
      <protection locked="0"/>
    </xf>
    <xf numFmtId="186" fontId="2" fillId="0" borderId="10" xfId="58" applyNumberFormat="1" applyFont="1" applyBorder="1" applyAlignment="1">
      <alignment vertical="top" wrapText="1"/>
      <protection locked="0"/>
    </xf>
    <xf numFmtId="186" fontId="2" fillId="0" borderId="10" xfId="58" applyNumberFormat="1" applyFont="1" applyBorder="1" applyAlignment="1">
      <alignment horizontal="center" vertical="top" wrapText="1"/>
      <protection locked="0"/>
    </xf>
    <xf numFmtId="0" fontId="19" fillId="0" borderId="10" xfId="58" applyFont="1" applyBorder="1" applyAlignment="1">
      <alignment horizontal="center" vertical="center"/>
      <protection locked="0"/>
    </xf>
    <xf numFmtId="0" fontId="19" fillId="0" borderId="10" xfId="58" applyFont="1" applyBorder="1" applyAlignment="1">
      <alignment horizontal="center" vertical="center" wrapText="1"/>
      <protection locked="0"/>
    </xf>
    <xf numFmtId="0" fontId="19" fillId="0" borderId="10" xfId="58" applyFont="1" applyBorder="1" applyAlignment="1">
      <alignment vertical="center"/>
      <protection locked="0"/>
    </xf>
    <xf numFmtId="3" fontId="20" fillId="0" borderId="10" xfId="58" applyNumberFormat="1" applyFont="1" applyBorder="1" applyAlignment="1">
      <alignment horizontal="center" vertical="top" wrapText="1"/>
      <protection locked="0"/>
    </xf>
    <xf numFmtId="0" fontId="20" fillId="0" borderId="10" xfId="58" applyFont="1" applyBorder="1" applyAlignment="1">
      <alignment vertical="top" wrapText="1"/>
      <protection locked="0"/>
    </xf>
    <xf numFmtId="0" fontId="21" fillId="0" borderId="10" xfId="58" applyFont="1" applyBorder="1" applyAlignment="1">
      <alignment horizontal="center" vertical="top" wrapText="1"/>
      <protection locked="0"/>
    </xf>
    <xf numFmtId="183" fontId="20" fillId="0" borderId="10" xfId="58" applyNumberFormat="1" applyFont="1" applyBorder="1" applyAlignment="1">
      <alignment horizontal="right" vertical="top" wrapText="1"/>
      <protection locked="0"/>
    </xf>
    <xf numFmtId="3" fontId="21" fillId="0" borderId="10" xfId="58" applyNumberFormat="1" applyFont="1" applyBorder="1" applyAlignment="1">
      <alignment horizontal="center" vertical="top" wrapText="1"/>
      <protection locked="0"/>
    </xf>
    <xf numFmtId="184" fontId="20" fillId="0" borderId="10" xfId="58" applyNumberFormat="1" applyFont="1" applyBorder="1" applyAlignment="1">
      <alignment horizontal="right" vertical="top" wrapText="1"/>
      <protection locked="0"/>
    </xf>
    <xf numFmtId="0" fontId="20" fillId="0" borderId="10" xfId="58" applyFont="1" applyBorder="1" applyAlignment="1">
      <alignment horizontal="center" vertical="top" wrapText="1"/>
      <protection locked="0"/>
    </xf>
    <xf numFmtId="0" fontId="20" fillId="0" borderId="10" xfId="58" applyFont="1" applyBorder="1" applyAlignment="1">
      <alignment horizontal="left" vertical="top" wrapText="1"/>
      <protection locked="0"/>
    </xf>
    <xf numFmtId="185" fontId="20" fillId="0" borderId="10" xfId="58" applyNumberFormat="1" applyFont="1" applyBorder="1" applyAlignment="1">
      <alignment horizontal="right" vertical="top" wrapText="1"/>
      <protection locked="0"/>
    </xf>
    <xf numFmtId="37" fontId="8" fillId="0" borderId="10" xfId="58" applyNumberFormat="1" applyFont="1" applyBorder="1" applyAlignment="1">
      <alignment vertical="top" wrapText="1"/>
      <protection locked="0"/>
    </xf>
    <xf numFmtId="37" fontId="2" fillId="0" borderId="10" xfId="58" applyNumberFormat="1" applyFont="1" applyBorder="1" applyAlignment="1">
      <alignment vertical="top" wrapText="1"/>
      <protection locked="0"/>
    </xf>
    <xf numFmtId="37" fontId="4" fillId="0" borderId="10" xfId="58" applyNumberFormat="1" applyFont="1" applyBorder="1" applyAlignment="1">
      <alignment vertical="top" wrapText="1"/>
      <protection locked="0"/>
    </xf>
    <xf numFmtId="37" fontId="3" fillId="0" borderId="10" xfId="58" applyNumberFormat="1" applyFont="1" applyBorder="1" applyAlignment="1">
      <alignment vertical="top" wrapText="1"/>
      <protection locked="0"/>
    </xf>
    <xf numFmtId="37" fontId="19" fillId="0" borderId="10" xfId="58" applyNumberFormat="1" applyFont="1" applyBorder="1" applyAlignment="1">
      <alignment vertical="center" wrapText="1"/>
      <protection locked="0"/>
    </xf>
    <xf numFmtId="0" fontId="101" fillId="0" borderId="22" xfId="0" applyFont="1" applyBorder="1" applyAlignment="1">
      <alignment horizontal="justify" vertical="center" wrapText="1"/>
    </xf>
    <xf numFmtId="0" fontId="102" fillId="0" borderId="20" xfId="0" applyFont="1" applyBorder="1" applyAlignment="1">
      <alignment vertical="center" wrapText="1"/>
    </xf>
    <xf numFmtId="0" fontId="103" fillId="0" borderId="23" xfId="0" applyFont="1" applyBorder="1" applyAlignment="1">
      <alignment vertical="center" wrapText="1"/>
    </xf>
    <xf numFmtId="0" fontId="103" fillId="0" borderId="20" xfId="0" applyFont="1" applyBorder="1" applyAlignment="1">
      <alignment vertical="center" wrapText="1"/>
    </xf>
    <xf numFmtId="0" fontId="101" fillId="0" borderId="22" xfId="0" applyFont="1" applyBorder="1" applyAlignment="1">
      <alignment vertical="center" wrapText="1"/>
    </xf>
    <xf numFmtId="0" fontId="102" fillId="0" borderId="22" xfId="0" applyFont="1" applyBorder="1" applyAlignment="1">
      <alignment horizontal="justify" vertical="center" wrapText="1"/>
    </xf>
    <xf numFmtId="0" fontId="103" fillId="0" borderId="22" xfId="0" applyFont="1" applyBorder="1" applyAlignment="1">
      <alignment vertical="center" wrapText="1"/>
    </xf>
    <xf numFmtId="0" fontId="102" fillId="0" borderId="22" xfId="0" applyFont="1" applyBorder="1" applyAlignment="1">
      <alignment horizontal="left" vertical="center" wrapText="1" indent="2"/>
    </xf>
    <xf numFmtId="0" fontId="103" fillId="0" borderId="24" xfId="0" applyFont="1" applyBorder="1" applyAlignment="1">
      <alignment vertical="center" wrapText="1"/>
    </xf>
    <xf numFmtId="0" fontId="103" fillId="0" borderId="25" xfId="0" applyFont="1" applyBorder="1" applyAlignment="1">
      <alignment vertical="center" wrapText="1"/>
    </xf>
    <xf numFmtId="0" fontId="102" fillId="33" borderId="20" xfId="0" applyFont="1" applyFill="1" applyBorder="1" applyAlignment="1">
      <alignment vertical="center" wrapText="1"/>
    </xf>
    <xf numFmtId="0" fontId="103" fillId="33" borderId="20" xfId="0" applyFont="1" applyFill="1" applyBorder="1" applyAlignment="1">
      <alignment vertical="center" wrapText="1"/>
    </xf>
    <xf numFmtId="0" fontId="103" fillId="0" borderId="26" xfId="0" applyFont="1" applyBorder="1" applyAlignment="1">
      <alignment vertical="center" wrapText="1"/>
    </xf>
    <xf numFmtId="0" fontId="103" fillId="0" borderId="27" xfId="0" applyFont="1" applyBorder="1" applyAlignment="1">
      <alignment vertical="center" wrapText="1"/>
    </xf>
    <xf numFmtId="0" fontId="103" fillId="0" borderId="28" xfId="0" applyFont="1" applyBorder="1" applyAlignment="1">
      <alignment vertical="center" wrapText="1"/>
    </xf>
    <xf numFmtId="0" fontId="103" fillId="0" borderId="29" xfId="0" applyFont="1" applyBorder="1" applyAlignment="1">
      <alignment vertical="center" wrapText="1"/>
    </xf>
    <xf numFmtId="0" fontId="103" fillId="0" borderId="0" xfId="0" applyFont="1" applyBorder="1" applyAlignment="1">
      <alignment vertical="center" wrapText="1"/>
    </xf>
    <xf numFmtId="0" fontId="103" fillId="0" borderId="30" xfId="0" applyFont="1" applyBorder="1" applyAlignment="1">
      <alignment vertical="center" wrapText="1"/>
    </xf>
    <xf numFmtId="0" fontId="103" fillId="0" borderId="31" xfId="0" applyFont="1" applyBorder="1" applyAlignment="1">
      <alignment vertical="center" wrapText="1"/>
    </xf>
    <xf numFmtId="0" fontId="86" fillId="0" borderId="10" xfId="0" applyFont="1" applyFill="1" applyBorder="1" applyAlignment="1">
      <alignment horizontal="center" vertical="center"/>
    </xf>
    <xf numFmtId="0" fontId="0" fillId="0" borderId="0" xfId="0" applyAlignment="1">
      <alignment vertical="center" wrapText="1"/>
    </xf>
    <xf numFmtId="0" fontId="104" fillId="0" borderId="10" xfId="0" applyNumberFormat="1"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xf>
    <xf numFmtId="0" fontId="86" fillId="0" borderId="10" xfId="0" applyFont="1" applyBorder="1" applyAlignment="1">
      <alignment horizontal="center" vertical="center" wrapText="1"/>
    </xf>
    <xf numFmtId="0" fontId="86" fillId="0" borderId="10"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0" fontId="85" fillId="34" borderId="10" xfId="0" applyFont="1" applyFill="1" applyBorder="1" applyAlignment="1">
      <alignment horizontal="center" vertical="center" wrapText="1"/>
    </xf>
    <xf numFmtId="0" fontId="85" fillId="35" borderId="10" xfId="0" applyFont="1" applyFill="1" applyBorder="1" applyAlignment="1">
      <alignment horizontal="center" vertical="center" wrapText="1"/>
    </xf>
    <xf numFmtId="0" fontId="86" fillId="0" borderId="10" xfId="0" applyFont="1" applyBorder="1" applyAlignment="1">
      <alignment vertical="center" wrapText="1"/>
    </xf>
    <xf numFmtId="0" fontId="86" fillId="35" borderId="10" xfId="0" applyFont="1" applyFill="1" applyBorder="1" applyAlignment="1">
      <alignment horizontal="center" vertical="center"/>
    </xf>
    <xf numFmtId="0" fontId="104" fillId="0" borderId="10" xfId="0" applyFont="1" applyBorder="1" applyAlignment="1">
      <alignment horizontal="center" vertical="center"/>
    </xf>
    <xf numFmtId="0" fontId="2" fillId="36"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26"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180" fontId="26" fillId="0" borderId="0" xfId="42"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6" fillId="0" borderId="0" xfId="0" applyNumberFormat="1" applyFont="1" applyFill="1" applyBorder="1" applyAlignment="1">
      <alignment horizontal="center" vertical="center"/>
    </xf>
    <xf numFmtId="180" fontId="26" fillId="0" borderId="0" xfId="42"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180" fontId="7" fillId="0" borderId="0" xfId="42"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7" fillId="0" borderId="0" xfId="0" applyFont="1" applyFill="1" applyAlignment="1">
      <alignment horizontal="center" vertical="center"/>
    </xf>
    <xf numFmtId="0" fontId="26" fillId="0" borderId="0" xfId="0" applyFont="1" applyFill="1" applyAlignment="1">
      <alignment vertical="center" wrapText="1"/>
    </xf>
    <xf numFmtId="0" fontId="26" fillId="0" borderId="0" xfId="0" applyNumberFormat="1" applyFont="1" applyFill="1" applyAlignment="1">
      <alignment horizontal="center" vertical="center"/>
    </xf>
    <xf numFmtId="180" fontId="26" fillId="0" borderId="0" xfId="42" applyNumberFormat="1" applyFont="1" applyFill="1" applyAlignment="1">
      <alignment horizontal="center" vertical="center"/>
    </xf>
    <xf numFmtId="3" fontId="26" fillId="0" borderId="0" xfId="0" applyNumberFormat="1" applyFont="1" applyFill="1" applyBorder="1" applyAlignment="1">
      <alignment horizontal="center" vertical="center" wrapText="1"/>
    </xf>
    <xf numFmtId="0" fontId="105" fillId="0" borderId="0" xfId="0" applyFont="1" applyAlignment="1">
      <alignment/>
    </xf>
    <xf numFmtId="0" fontId="27" fillId="0" borderId="10" xfId="60" applyFont="1" applyBorder="1" applyAlignment="1">
      <alignment horizontal="center" vertical="center"/>
      <protection/>
    </xf>
    <xf numFmtId="0" fontId="27" fillId="0" borderId="10" xfId="60" applyFont="1" applyBorder="1" applyAlignment="1">
      <alignment vertical="center"/>
      <protection/>
    </xf>
    <xf numFmtId="9" fontId="27" fillId="0" borderId="10" xfId="60" applyNumberFormat="1" applyFont="1" applyBorder="1" applyAlignment="1">
      <alignment horizontal="center" vertical="center"/>
      <protection/>
    </xf>
    <xf numFmtId="180" fontId="27" fillId="0" borderId="10" xfId="44" applyNumberFormat="1" applyFont="1" applyBorder="1" applyAlignment="1">
      <alignment horizontal="right" vertical="center"/>
    </xf>
    <xf numFmtId="0" fontId="28" fillId="0" borderId="10" xfId="60" applyFont="1" applyBorder="1" applyAlignment="1">
      <alignment horizontal="center" vertical="center"/>
      <protection/>
    </xf>
    <xf numFmtId="0" fontId="28" fillId="0" borderId="10" xfId="60" applyFont="1" applyBorder="1" applyAlignment="1">
      <alignment vertical="center"/>
      <protection/>
    </xf>
    <xf numFmtId="180" fontId="28" fillId="0" borderId="10" xfId="60" applyNumberFormat="1" applyFont="1" applyBorder="1" applyAlignment="1">
      <alignment horizontal="right" vertical="center"/>
      <protection/>
    </xf>
    <xf numFmtId="2" fontId="28" fillId="0" borderId="10" xfId="60" applyNumberFormat="1" applyFont="1" applyBorder="1" applyAlignment="1">
      <alignment horizontal="right" vertical="center"/>
      <protection/>
    </xf>
    <xf numFmtId="0" fontId="106" fillId="0" borderId="0" xfId="0" applyFont="1" applyAlignment="1">
      <alignment/>
    </xf>
    <xf numFmtId="0" fontId="105" fillId="0" borderId="0" xfId="0" applyFont="1" applyAlignment="1">
      <alignment horizontal="right"/>
    </xf>
    <xf numFmtId="0" fontId="30" fillId="0" borderId="0" xfId="0" applyFont="1" applyFill="1" applyBorder="1" applyAlignment="1">
      <alignment vertical="center"/>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80" fontId="7" fillId="0" borderId="10" xfId="42"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justify" vertical="center" wrapText="1"/>
    </xf>
    <xf numFmtId="3" fontId="7" fillId="0" borderId="10" xfId="42"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0" fontId="7" fillId="0" borderId="0" xfId="0" applyFont="1" applyFill="1" applyAlignment="1">
      <alignment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justify" vertical="center" wrapText="1"/>
    </xf>
    <xf numFmtId="0" fontId="26" fillId="0" borderId="10" xfId="0" applyNumberFormat="1" applyFont="1" applyFill="1" applyBorder="1" applyAlignment="1">
      <alignment horizontal="center" vertical="center" wrapText="1"/>
    </xf>
    <xf numFmtId="3" fontId="26" fillId="0" borderId="10" xfId="42" applyNumberFormat="1" applyFont="1" applyFill="1" applyBorder="1" applyAlignment="1">
      <alignment horizontal="right" vertical="center" wrapText="1"/>
    </xf>
    <xf numFmtId="0" fontId="3" fillId="0" borderId="10" xfId="0" applyFont="1" applyFill="1" applyBorder="1" applyAlignment="1">
      <alignment horizontal="center" vertical="center"/>
    </xf>
    <xf numFmtId="3" fontId="7" fillId="0" borderId="0" xfId="0" applyNumberFormat="1" applyFont="1" applyFill="1" applyAlignment="1">
      <alignment vertical="center"/>
    </xf>
    <xf numFmtId="3" fontId="7" fillId="0" borderId="10" xfId="0" applyNumberFormat="1" applyFont="1" applyFill="1" applyBorder="1" applyAlignment="1">
      <alignment vertical="center"/>
    </xf>
    <xf numFmtId="0" fontId="26" fillId="0" borderId="10" xfId="0" applyFont="1" applyBorder="1" applyAlignment="1">
      <alignment horizontal="center" vertical="center"/>
    </xf>
    <xf numFmtId="0" fontId="26" fillId="0" borderId="10" xfId="0" applyFont="1" applyBorder="1" applyAlignment="1" quotePrefix="1">
      <alignment horizontal="justify" vertical="center"/>
    </xf>
    <xf numFmtId="0" fontId="26" fillId="0" borderId="10" xfId="0" applyFont="1" applyBorder="1" applyAlignment="1">
      <alignment horizontal="center" vertical="center" wrapText="1"/>
    </xf>
    <xf numFmtId="3" fontId="26" fillId="0" borderId="10"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7"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3" fontId="26" fillId="0" borderId="10" xfId="0" applyNumberFormat="1" applyFont="1" applyFill="1" applyBorder="1" applyAlignment="1">
      <alignment horizontal="right" vertical="center" wrapText="1"/>
    </xf>
    <xf numFmtId="0" fontId="26" fillId="0" borderId="10" xfId="0" applyFont="1" applyBorder="1" applyAlignment="1" quotePrefix="1">
      <alignment horizontal="left" vertical="center" wrapText="1"/>
    </xf>
    <xf numFmtId="3" fontId="26" fillId="0" borderId="10" xfId="0" applyNumberFormat="1" applyFont="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3" fontId="26" fillId="0" borderId="10" xfId="42" applyNumberFormat="1" applyFont="1" applyBorder="1" applyAlignment="1">
      <alignment horizontal="right" vertical="center"/>
    </xf>
    <xf numFmtId="3" fontId="26" fillId="0" borderId="10" xfId="0" applyNumberFormat="1" applyFont="1" applyBorder="1" applyAlignment="1">
      <alignment horizontal="right" vertical="center"/>
    </xf>
    <xf numFmtId="0" fontId="30" fillId="0" borderId="10" xfId="0" applyNumberFormat="1" applyFont="1" applyFill="1" applyBorder="1" applyAlignment="1">
      <alignment horizontal="center" vertical="center" wrapText="1"/>
    </xf>
    <xf numFmtId="3" fontId="30" fillId="0" borderId="10" xfId="42" applyNumberFormat="1" applyFont="1" applyFill="1" applyBorder="1" applyAlignment="1">
      <alignment horizontal="right" vertical="center" wrapText="1"/>
    </xf>
    <xf numFmtId="3" fontId="30" fillId="0" borderId="10" xfId="0" applyNumberFormat="1" applyFont="1" applyFill="1" applyBorder="1" applyAlignment="1">
      <alignment horizontal="right"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0" xfId="0" applyFont="1" applyFill="1" applyAlignment="1">
      <alignment vertical="center"/>
    </xf>
    <xf numFmtId="3" fontId="7" fillId="33" borderId="10" xfId="0" applyNumberFormat="1" applyFont="1" applyFill="1" applyBorder="1" applyAlignment="1">
      <alignment horizontal="right" vertical="center" wrapText="1"/>
    </xf>
    <xf numFmtId="3" fontId="26" fillId="0" borderId="0" xfId="0" applyNumberFormat="1" applyFont="1" applyFill="1" applyAlignment="1">
      <alignment vertical="center"/>
    </xf>
    <xf numFmtId="0" fontId="26" fillId="0" borderId="0" xfId="0" applyFont="1" applyFill="1" applyAlignment="1">
      <alignment horizontal="left" vertical="center"/>
    </xf>
    <xf numFmtId="0" fontId="12" fillId="0" borderId="10" xfId="60" applyFont="1" applyBorder="1" applyAlignment="1">
      <alignment horizontal="center" vertical="center"/>
      <protection/>
    </xf>
    <xf numFmtId="180" fontId="12" fillId="0" borderId="10" xfId="44" applyNumberFormat="1" applyFont="1" applyBorder="1" applyAlignment="1">
      <alignment horizontal="right" vertical="center"/>
    </xf>
    <xf numFmtId="180" fontId="31" fillId="0" borderId="10" xfId="60" applyNumberFormat="1" applyFont="1" applyBorder="1" applyAlignment="1">
      <alignment horizontal="right" vertical="center"/>
      <protection/>
    </xf>
    <xf numFmtId="0" fontId="7" fillId="0" borderId="10" xfId="60" applyFont="1" applyBorder="1" applyAlignment="1">
      <alignment horizontal="center" vertical="center"/>
      <protection/>
    </xf>
    <xf numFmtId="0" fontId="30" fillId="0" borderId="0" xfId="60" applyFont="1" applyBorder="1" applyAlignment="1">
      <alignment horizontal="center" wrapText="1"/>
      <protection/>
    </xf>
    <xf numFmtId="0" fontId="26" fillId="0" borderId="10" xfId="60" applyFont="1" applyBorder="1" applyAlignment="1">
      <alignment horizontal="center" vertical="center"/>
      <protection/>
    </xf>
    <xf numFmtId="4" fontId="7" fillId="0" borderId="0" xfId="0" applyNumberFormat="1" applyFont="1" applyFill="1" applyAlignment="1">
      <alignment vertical="center"/>
    </xf>
    <xf numFmtId="4" fontId="26" fillId="0" borderId="0" xfId="0" applyNumberFormat="1" applyFont="1" applyFill="1" applyAlignment="1">
      <alignment vertical="center"/>
    </xf>
    <xf numFmtId="0" fontId="26" fillId="0" borderId="10" xfId="0" applyFont="1" applyBorder="1" applyAlignment="1" quotePrefix="1">
      <alignment horizontal="center" vertical="center"/>
    </xf>
    <xf numFmtId="0" fontId="31" fillId="0" borderId="10" xfId="60" applyFont="1" applyBorder="1" applyAlignment="1" quotePrefix="1">
      <alignment horizontal="center" vertical="center"/>
      <protection/>
    </xf>
    <xf numFmtId="0" fontId="31" fillId="0" borderId="10" xfId="60" applyFont="1" applyBorder="1" applyAlignment="1">
      <alignment vertical="center" wrapText="1"/>
      <protection/>
    </xf>
    <xf numFmtId="2" fontId="31" fillId="0" borderId="32" xfId="60" applyNumberFormat="1" applyFont="1" applyBorder="1" applyAlignment="1">
      <alignment vertical="center" wrapText="1"/>
      <protection/>
    </xf>
    <xf numFmtId="0" fontId="12" fillId="0" borderId="32" xfId="60" applyFont="1" applyBorder="1" applyAlignment="1">
      <alignment horizontal="center" vertical="center"/>
      <protection/>
    </xf>
    <xf numFmtId="0" fontId="31" fillId="0" borderId="10" xfId="60" applyFont="1" applyBorder="1" applyAlignment="1">
      <alignment horizontal="center" vertical="center"/>
      <protection/>
    </xf>
    <xf numFmtId="0" fontId="7" fillId="0" borderId="0" xfId="60" applyFont="1" applyAlignment="1">
      <alignment vertical="center" wrapText="1"/>
      <protection/>
    </xf>
    <xf numFmtId="0" fontId="105" fillId="0" borderId="10" xfId="0" applyFont="1" applyBorder="1" applyAlignment="1">
      <alignment/>
    </xf>
    <xf numFmtId="0" fontId="31" fillId="0" borderId="0" xfId="0" applyFont="1" applyAlignment="1">
      <alignment/>
    </xf>
    <xf numFmtId="0" fontId="12" fillId="0" borderId="10" xfId="0" applyFont="1" applyBorder="1" applyAlignment="1">
      <alignment horizontal="center" vertical="center" wrapText="1"/>
    </xf>
    <xf numFmtId="0" fontId="31" fillId="0" borderId="10" xfId="0" applyFont="1" applyBorder="1" applyAlignment="1">
      <alignment/>
    </xf>
    <xf numFmtId="0" fontId="12" fillId="0" borderId="10" xfId="0" applyFont="1" applyBorder="1" applyAlignment="1">
      <alignment horizontal="center"/>
    </xf>
    <xf numFmtId="180" fontId="12" fillId="0" borderId="10" xfId="0" applyNumberFormat="1" applyFont="1" applyBorder="1" applyAlignment="1">
      <alignment/>
    </xf>
    <xf numFmtId="0" fontId="31" fillId="0" borderId="10" xfId="0" applyFont="1" applyBorder="1" applyAlignment="1">
      <alignment horizontal="center" vertical="center"/>
    </xf>
    <xf numFmtId="0" fontId="90" fillId="0" borderId="10" xfId="59" applyFont="1" applyBorder="1" applyAlignment="1">
      <alignment vertical="center" wrapText="1"/>
      <protection/>
    </xf>
    <xf numFmtId="1" fontId="31" fillId="0" borderId="10" xfId="0" applyNumberFormat="1" applyFont="1" applyBorder="1" applyAlignment="1">
      <alignment vertical="center"/>
    </xf>
    <xf numFmtId="180" fontId="31" fillId="0" borderId="10" xfId="42" applyNumberFormat="1" applyFont="1" applyBorder="1" applyAlignment="1">
      <alignment vertical="center"/>
    </xf>
    <xf numFmtId="180" fontId="31" fillId="0" borderId="10" xfId="0" applyNumberFormat="1" applyFont="1" applyBorder="1" applyAlignment="1">
      <alignment vertical="center"/>
    </xf>
    <xf numFmtId="0" fontId="31" fillId="0" borderId="0" xfId="0" applyFont="1" applyAlignment="1">
      <alignment vertical="center"/>
    </xf>
    <xf numFmtId="0" fontId="90" fillId="0" borderId="10" xfId="59" applyFont="1" applyBorder="1" applyAlignment="1">
      <alignment horizontal="left" vertical="center" wrapText="1"/>
      <protection/>
    </xf>
    <xf numFmtId="182" fontId="31" fillId="0" borderId="10" xfId="0" applyNumberFormat="1" applyFont="1" applyBorder="1" applyAlignment="1">
      <alignment vertical="center"/>
    </xf>
    <xf numFmtId="1" fontId="26" fillId="0" borderId="10" xfId="0" applyNumberFormat="1" applyFont="1" applyBorder="1" applyAlignment="1">
      <alignment horizontal="center" vertical="center" wrapText="1"/>
    </xf>
    <xf numFmtId="0" fontId="31" fillId="0" borderId="0" xfId="0" applyFont="1" applyAlignment="1">
      <alignment horizontal="center"/>
    </xf>
    <xf numFmtId="0" fontId="7" fillId="0" borderId="0" xfId="60" applyFont="1" applyAlignment="1">
      <alignment horizontal="center" vertical="center" wrapText="1"/>
      <protection/>
    </xf>
    <xf numFmtId="0" fontId="7" fillId="0" borderId="33" xfId="60" applyFont="1" applyBorder="1" applyAlignment="1">
      <alignment horizontal="center" vertical="center" wrapText="1"/>
      <protection/>
    </xf>
    <xf numFmtId="0" fontId="12" fillId="0" borderId="10" xfId="60" applyFont="1" applyBorder="1" applyAlignment="1">
      <alignment vertical="center" wrapText="1"/>
      <protection/>
    </xf>
    <xf numFmtId="0" fontId="12" fillId="0" borderId="10" xfId="60" applyFont="1" applyBorder="1" applyAlignment="1" quotePrefix="1">
      <alignment horizontal="center" vertical="center"/>
      <protection/>
    </xf>
    <xf numFmtId="2" fontId="12" fillId="0" borderId="32" xfId="60" applyNumberFormat="1" applyFont="1" applyBorder="1" applyAlignment="1">
      <alignment vertical="center" wrapText="1"/>
      <protection/>
    </xf>
    <xf numFmtId="0" fontId="12" fillId="0" borderId="10" xfId="60" applyFont="1" applyBorder="1" applyAlignment="1">
      <alignment horizontal="left" vertical="center" wrapText="1"/>
      <protection/>
    </xf>
    <xf numFmtId="180" fontId="12" fillId="0" borderId="10" xfId="42" applyNumberFormat="1" applyFont="1" applyBorder="1" applyAlignment="1" quotePrefix="1">
      <alignment horizontal="center" vertical="center"/>
    </xf>
    <xf numFmtId="180" fontId="31" fillId="0" borderId="10" xfId="42" applyNumberFormat="1" applyFont="1" applyBorder="1" applyAlignment="1" quotePrefix="1">
      <alignment horizontal="center" vertical="center"/>
    </xf>
    <xf numFmtId="180" fontId="31" fillId="0" borderId="10" xfId="44" applyNumberFormat="1" applyFont="1" applyBorder="1" applyAlignment="1">
      <alignment horizontal="right" vertical="center"/>
    </xf>
    <xf numFmtId="0" fontId="97" fillId="0" borderId="0" xfId="0" applyFont="1" applyAlignment="1">
      <alignment/>
    </xf>
    <xf numFmtId="0" fontId="7" fillId="0" borderId="10" xfId="60" applyFont="1" applyBorder="1" applyAlignment="1">
      <alignment vertical="center"/>
      <protection/>
    </xf>
    <xf numFmtId="9" fontId="7" fillId="0" borderId="10" xfId="60" applyNumberFormat="1" applyFont="1" applyBorder="1" applyAlignment="1">
      <alignment horizontal="center" vertical="center"/>
      <protection/>
    </xf>
    <xf numFmtId="180" fontId="7" fillId="0" borderId="10" xfId="44" applyNumberFormat="1" applyFont="1" applyBorder="1" applyAlignment="1">
      <alignment horizontal="right" vertical="center"/>
    </xf>
    <xf numFmtId="0" fontId="26" fillId="0" borderId="10" xfId="60" applyFont="1" applyBorder="1" applyAlignment="1">
      <alignment vertical="center"/>
      <protection/>
    </xf>
    <xf numFmtId="180" fontId="26" fillId="0" borderId="10" xfId="60" applyNumberFormat="1" applyFont="1" applyBorder="1" applyAlignment="1">
      <alignment horizontal="right" vertical="center"/>
      <protection/>
    </xf>
    <xf numFmtId="2" fontId="26" fillId="0" borderId="10" xfId="60" applyNumberFormat="1" applyFont="1" applyBorder="1" applyAlignment="1">
      <alignment horizontal="right" vertical="center"/>
      <protection/>
    </xf>
    <xf numFmtId="0" fontId="30" fillId="0" borderId="0" xfId="60" applyFont="1" applyAlignment="1">
      <alignment vertical="center" wrapText="1"/>
      <protection/>
    </xf>
    <xf numFmtId="0" fontId="26" fillId="0" borderId="10" xfId="60" applyFont="1" applyBorder="1" applyAlignment="1" quotePrefix="1">
      <alignment horizontal="center" vertical="center"/>
      <protection/>
    </xf>
    <xf numFmtId="0" fontId="26" fillId="0" borderId="10" xfId="60" applyFont="1" applyBorder="1" applyAlignment="1">
      <alignment vertical="center" wrapText="1"/>
      <protection/>
    </xf>
    <xf numFmtId="3" fontId="26" fillId="0" borderId="10" xfId="42" applyNumberFormat="1" applyFont="1" applyFill="1" applyBorder="1" applyAlignment="1">
      <alignment horizontal="center" vertical="center" wrapText="1"/>
    </xf>
    <xf numFmtId="0" fontId="12" fillId="0" borderId="10" xfId="60" applyFont="1" applyBorder="1" applyAlignment="1">
      <alignment horizontal="center" vertical="center" wrapText="1"/>
      <protection/>
    </xf>
    <xf numFmtId="2" fontId="31" fillId="0" borderId="0" xfId="60" applyNumberFormat="1" applyFont="1" applyBorder="1" applyAlignment="1">
      <alignment vertical="center" wrapText="1"/>
      <protection/>
    </xf>
    <xf numFmtId="0" fontId="7" fillId="0" borderId="0" xfId="60" applyFont="1" applyBorder="1" applyAlignment="1">
      <alignment vertical="center" wrapText="1"/>
      <protection/>
    </xf>
    <xf numFmtId="180" fontId="31" fillId="0" borderId="32" xfId="44" applyNumberFormat="1" applyFont="1" applyBorder="1" applyAlignment="1">
      <alignment horizontal="right" vertical="center"/>
    </xf>
    <xf numFmtId="0" fontId="105" fillId="0" borderId="0" xfId="0" applyFont="1" applyBorder="1" applyAlignment="1">
      <alignment/>
    </xf>
    <xf numFmtId="0" fontId="7" fillId="0" borderId="34" xfId="0"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3" fontId="7" fillId="0" borderId="34" xfId="42" applyNumberFormat="1" applyFont="1" applyFill="1" applyBorder="1" applyAlignment="1">
      <alignment horizontal="right" vertical="center" wrapText="1"/>
    </xf>
    <xf numFmtId="0" fontId="2" fillId="0" borderId="34"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quotePrefix="1">
      <alignment horizontal="justify" vertical="center"/>
    </xf>
    <xf numFmtId="0" fontId="7" fillId="0" borderId="10" xfId="0" applyFont="1" applyBorder="1" applyAlignment="1">
      <alignment horizontal="center" vertical="center" wrapText="1"/>
    </xf>
    <xf numFmtId="3" fontId="7" fillId="0" borderId="10" xfId="0" applyNumberFormat="1" applyFont="1" applyBorder="1" applyAlignment="1">
      <alignment horizontal="right" vertical="center" wrapText="1"/>
    </xf>
    <xf numFmtId="0" fontId="3" fillId="0" borderId="10" xfId="0" applyFont="1" applyBorder="1" applyAlignment="1">
      <alignment horizontal="center" vertical="center"/>
    </xf>
    <xf numFmtId="0" fontId="97" fillId="0" borderId="0" xfId="0" applyFont="1" applyAlignment="1" quotePrefix="1">
      <alignment/>
    </xf>
    <xf numFmtId="0" fontId="30" fillId="0" borderId="33" xfId="60" applyFont="1" applyBorder="1" applyAlignment="1">
      <alignment horizontal="center" vertical="center" wrapText="1"/>
      <protection/>
    </xf>
    <xf numFmtId="0" fontId="30" fillId="0" borderId="3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34" xfId="0" applyNumberFormat="1" applyFont="1" applyFill="1" applyBorder="1" applyAlignment="1">
      <alignment horizontal="center" vertical="center" wrapText="1"/>
    </xf>
    <xf numFmtId="0" fontId="26" fillId="0" borderId="39" xfId="0" applyNumberFormat="1" applyFont="1" applyFill="1" applyBorder="1" applyAlignment="1">
      <alignment horizontal="center" vertical="center" wrapText="1"/>
    </xf>
    <xf numFmtId="0" fontId="26" fillId="0" borderId="40" xfId="0" applyNumberFormat="1" applyFont="1" applyFill="1" applyBorder="1" applyAlignment="1">
      <alignment horizontal="center" vertical="center" wrapText="1"/>
    </xf>
    <xf numFmtId="3" fontId="26" fillId="0" borderId="34" xfId="42" applyNumberFormat="1" applyFont="1" applyFill="1" applyBorder="1" applyAlignment="1">
      <alignment horizontal="center" vertical="center" wrapText="1"/>
    </xf>
    <xf numFmtId="3" fontId="26" fillId="0" borderId="39" xfId="42" applyNumberFormat="1" applyFont="1" applyFill="1" applyBorder="1" applyAlignment="1">
      <alignment horizontal="center" vertical="center" wrapText="1"/>
    </xf>
    <xf numFmtId="3" fontId="26" fillId="0" borderId="40" xfId="42"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6" fillId="0" borderId="0" xfId="58" applyFont="1" applyFill="1" applyAlignment="1">
      <alignment horizontal="center" vertical="top"/>
      <protection locked="0"/>
    </xf>
    <xf numFmtId="0" fontId="10" fillId="0" borderId="0" xfId="58" applyFont="1" applyAlignment="1">
      <alignment horizontal="center" vertical="top"/>
      <protection locked="0"/>
    </xf>
    <xf numFmtId="0" fontId="6" fillId="0" borderId="0" xfId="58" applyFont="1" applyAlignment="1">
      <alignment vertical="top"/>
      <protection locked="0"/>
    </xf>
    <xf numFmtId="0" fontId="12" fillId="0" borderId="0" xfId="58" applyFont="1" applyAlignment="1">
      <alignment horizontal="center" vertical="top" wrapText="1"/>
      <protection locked="0"/>
    </xf>
    <xf numFmtId="0" fontId="3" fillId="0" borderId="0" xfId="58" applyFont="1" applyAlignment="1">
      <alignment horizontal="center" vertical="top" wrapText="1"/>
      <protection locked="0"/>
    </xf>
    <xf numFmtId="0" fontId="3" fillId="0" borderId="10" xfId="58" applyFont="1" applyFill="1" applyBorder="1" applyAlignment="1">
      <alignment horizontal="center" vertical="center"/>
      <protection locked="0"/>
    </xf>
    <xf numFmtId="0" fontId="11" fillId="0" borderId="0" xfId="58" applyFont="1" applyFill="1" applyAlignment="1" applyProtection="1">
      <alignment horizontal="center" vertical="top"/>
      <protection/>
    </xf>
    <xf numFmtId="0" fontId="9" fillId="0" borderId="0" xfId="58" applyFont="1" applyAlignment="1">
      <alignment vertical="top"/>
      <protection locked="0"/>
    </xf>
    <xf numFmtId="49" fontId="4" fillId="0" borderId="10" xfId="58" applyNumberFormat="1" applyFont="1" applyBorder="1" applyAlignment="1">
      <alignment horizontal="center" vertical="center" wrapText="1"/>
      <protection locked="0"/>
    </xf>
    <xf numFmtId="0" fontId="2" fillId="0" borderId="10" xfId="58" applyFont="1" applyBorder="1" applyAlignment="1">
      <alignment vertical="center" wrapText="1"/>
      <protection locked="0"/>
    </xf>
    <xf numFmtId="0" fontId="2" fillId="0" borderId="10" xfId="58" applyFont="1" applyBorder="1" applyAlignment="1">
      <alignment horizontal="center" vertical="center" wrapText="1"/>
      <protection locked="0"/>
    </xf>
    <xf numFmtId="0" fontId="2" fillId="0" borderId="10" xfId="58" applyFont="1" applyBorder="1" applyAlignment="1">
      <alignment vertical="center"/>
      <protection locked="0"/>
    </xf>
    <xf numFmtId="0" fontId="2" fillId="0" borderId="10" xfId="58" applyFont="1" applyBorder="1" applyAlignment="1">
      <alignment horizontal="center" vertical="center"/>
      <protection locked="0"/>
    </xf>
    <xf numFmtId="3" fontId="2" fillId="0" borderId="10" xfId="58" applyNumberFormat="1" applyFont="1" applyBorder="1" applyAlignment="1">
      <alignment vertical="center" wrapText="1"/>
      <protection locked="0"/>
    </xf>
    <xf numFmtId="0" fontId="3" fillId="0" borderId="41" xfId="58" applyFont="1" applyFill="1" applyBorder="1" applyAlignment="1">
      <alignment horizontal="center" vertical="center"/>
      <protection locked="0"/>
    </xf>
    <xf numFmtId="0" fontId="3" fillId="0" borderId="13" xfId="58" applyFont="1" applyFill="1" applyBorder="1" applyAlignment="1">
      <alignment horizontal="center" vertical="center"/>
      <protection locked="0"/>
    </xf>
    <xf numFmtId="0" fontId="3" fillId="0" borderId="42" xfId="58" applyFont="1" applyFill="1" applyBorder="1" applyAlignment="1">
      <alignment horizontal="center" vertical="center"/>
      <protection locked="0"/>
    </xf>
    <xf numFmtId="0" fontId="3" fillId="0" borderId="15" xfId="58" applyFont="1" applyFill="1" applyBorder="1" applyAlignment="1">
      <alignment horizontal="center" vertical="center"/>
      <protection locked="0"/>
    </xf>
    <xf numFmtId="0" fontId="3" fillId="0" borderId="43" xfId="58" applyFont="1" applyFill="1" applyBorder="1" applyAlignment="1">
      <alignment horizontal="center" vertical="center"/>
      <protection locked="0"/>
    </xf>
    <xf numFmtId="0" fontId="3" fillId="0" borderId="14" xfId="58" applyFont="1" applyFill="1" applyBorder="1" applyAlignment="1">
      <alignment horizontal="center" vertical="center"/>
      <protection locked="0"/>
    </xf>
    <xf numFmtId="0" fontId="30" fillId="0" borderId="33" xfId="60" applyFont="1" applyBorder="1" applyAlignment="1">
      <alignment horizontal="center" wrapText="1"/>
      <protection/>
    </xf>
    <xf numFmtId="2" fontId="26" fillId="0" borderId="34" xfId="60" applyNumberFormat="1" applyFont="1" applyBorder="1" applyAlignment="1">
      <alignment horizontal="center" vertical="center" wrapText="1"/>
      <protection/>
    </xf>
    <xf numFmtId="2" fontId="26" fillId="0" borderId="39" xfId="60" applyNumberFormat="1" applyFont="1" applyBorder="1" applyAlignment="1">
      <alignment horizontal="center" vertical="center" wrapText="1"/>
      <protection/>
    </xf>
    <xf numFmtId="2" fontId="26" fillId="0" borderId="40" xfId="60" applyNumberFormat="1" applyFont="1" applyBorder="1" applyAlignment="1">
      <alignment horizontal="center" vertical="center" wrapText="1"/>
      <protection/>
    </xf>
    <xf numFmtId="0" fontId="7" fillId="0" borderId="0" xfId="60" applyFont="1" applyAlignment="1">
      <alignment horizontal="center" vertical="center" wrapText="1"/>
      <protection/>
    </xf>
    <xf numFmtId="0" fontId="30" fillId="0" borderId="0" xfId="60" applyFont="1" applyAlignment="1">
      <alignment horizontal="center" vertical="center" wrapText="1"/>
      <protection/>
    </xf>
    <xf numFmtId="0" fontId="7" fillId="0" borderId="0" xfId="60" applyFont="1" applyBorder="1" applyAlignment="1">
      <alignment horizontal="center" vertical="center" wrapText="1"/>
      <protection/>
    </xf>
    <xf numFmtId="0" fontId="7" fillId="0" borderId="10" xfId="0" applyFont="1" applyFill="1" applyBorder="1" applyAlignment="1">
      <alignment horizontal="center" vertical="center" wrapText="1"/>
    </xf>
    <xf numFmtId="0" fontId="30" fillId="0" borderId="0" xfId="60" applyFont="1" applyBorder="1" applyAlignment="1">
      <alignment horizontal="center" vertical="center" wrapText="1"/>
      <protection/>
    </xf>
    <xf numFmtId="180" fontId="28" fillId="0" borderId="36" xfId="60" applyNumberFormat="1" applyFont="1" applyBorder="1" applyAlignment="1">
      <alignment horizontal="center" vertical="center" wrapText="1"/>
      <protection/>
    </xf>
    <xf numFmtId="0" fontId="7" fillId="0" borderId="36" xfId="60" applyFont="1" applyBorder="1" applyAlignment="1">
      <alignment horizontal="center" vertical="center"/>
      <protection/>
    </xf>
    <xf numFmtId="0" fontId="7" fillId="0" borderId="37" xfId="60" applyFont="1" applyBorder="1" applyAlignment="1">
      <alignment horizontal="center" vertical="center"/>
      <protection/>
    </xf>
    <xf numFmtId="0" fontId="7" fillId="0" borderId="38" xfId="60" applyFont="1" applyBorder="1" applyAlignment="1">
      <alignment horizontal="center" vertical="center"/>
      <protection/>
    </xf>
    <xf numFmtId="0" fontId="26" fillId="0" borderId="0" xfId="0" applyFont="1" applyAlignment="1">
      <alignment horizontal="center" wrapText="1"/>
    </xf>
    <xf numFmtId="0" fontId="26" fillId="0" borderId="0" xfId="0" applyFont="1" applyAlignment="1">
      <alignment horizontal="center"/>
    </xf>
    <xf numFmtId="0" fontId="30" fillId="0" borderId="0" xfId="0" applyFont="1" applyAlignment="1">
      <alignment horizont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31" fillId="0" borderId="34" xfId="60" applyFont="1" applyBorder="1" applyAlignment="1" quotePrefix="1">
      <alignment horizontal="center" vertical="center"/>
      <protection/>
    </xf>
    <xf numFmtId="0" fontId="31" fillId="0" borderId="39" xfId="60" applyFont="1" applyBorder="1" applyAlignment="1" quotePrefix="1">
      <alignment horizontal="center" vertical="center"/>
      <protection/>
    </xf>
    <xf numFmtId="0" fontId="31" fillId="0" borderId="40" xfId="60" applyFont="1" applyBorder="1" applyAlignment="1" quotePrefix="1">
      <alignment horizontal="center" vertical="center"/>
      <protection/>
    </xf>
    <xf numFmtId="180" fontId="31" fillId="0" borderId="34" xfId="42" applyNumberFormat="1" applyFont="1" applyBorder="1" applyAlignment="1" quotePrefix="1">
      <alignment horizontal="center" vertical="center"/>
    </xf>
    <xf numFmtId="180" fontId="31" fillId="0" borderId="39" xfId="42" applyNumberFormat="1" applyFont="1" applyBorder="1" applyAlignment="1" quotePrefix="1">
      <alignment horizontal="center" vertical="center"/>
    </xf>
    <xf numFmtId="180" fontId="31" fillId="0" borderId="40" xfId="42" applyNumberFormat="1" applyFont="1" applyBorder="1" applyAlignment="1" quotePrefix="1">
      <alignment horizontal="center" vertical="center"/>
    </xf>
    <xf numFmtId="180" fontId="31" fillId="0" borderId="34" xfId="44" applyNumberFormat="1" applyFont="1" applyBorder="1" applyAlignment="1">
      <alignment horizontal="center" vertical="center"/>
    </xf>
    <xf numFmtId="180" fontId="31" fillId="0" borderId="39" xfId="44" applyNumberFormat="1" applyFont="1" applyBorder="1" applyAlignment="1">
      <alignment horizontal="center" vertical="center"/>
    </xf>
    <xf numFmtId="180" fontId="31" fillId="0" borderId="40" xfId="44" applyNumberFormat="1" applyFont="1" applyBorder="1" applyAlignment="1">
      <alignment horizontal="center" vertical="center"/>
    </xf>
    <xf numFmtId="0" fontId="31" fillId="0" borderId="34" xfId="60" applyFont="1" applyBorder="1" applyAlignment="1">
      <alignment horizontal="center" vertical="center"/>
      <protection/>
    </xf>
    <xf numFmtId="0" fontId="31" fillId="0" borderId="39" xfId="60" applyFont="1" applyBorder="1" applyAlignment="1">
      <alignment horizontal="center" vertical="center"/>
      <protection/>
    </xf>
    <xf numFmtId="0" fontId="31" fillId="0" borderId="40" xfId="60" applyFont="1" applyBorder="1" applyAlignment="1">
      <alignment horizontal="center" vertical="center"/>
      <protection/>
    </xf>
    <xf numFmtId="180" fontId="31" fillId="0" borderId="32" xfId="44" applyNumberFormat="1" applyFont="1" applyBorder="1" applyAlignment="1">
      <alignment horizontal="center" vertical="center"/>
    </xf>
    <xf numFmtId="0" fontId="91" fillId="0" borderId="10" xfId="0" applyFont="1" applyBorder="1" applyAlignment="1">
      <alignment horizontal="center"/>
    </xf>
    <xf numFmtId="0" fontId="94" fillId="0" borderId="0" xfId="0" applyFont="1" applyBorder="1" applyAlignment="1">
      <alignment/>
    </xf>
    <xf numFmtId="0" fontId="91" fillId="0" borderId="0" xfId="0" applyFont="1" applyBorder="1" applyAlignment="1">
      <alignment/>
    </xf>
    <xf numFmtId="0" fontId="103" fillId="33" borderId="44" xfId="0" applyFont="1" applyFill="1" applyBorder="1" applyAlignment="1">
      <alignment vertical="center" wrapText="1"/>
    </xf>
    <xf numFmtId="0" fontId="103" fillId="33" borderId="24" xfId="0" applyFont="1" applyFill="1" applyBorder="1" applyAlignment="1">
      <alignment vertical="center" wrapText="1"/>
    </xf>
    <xf numFmtId="0" fontId="103" fillId="0" borderId="45"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44" xfId="0" applyFont="1" applyBorder="1" applyAlignment="1">
      <alignment horizontal="center" vertical="center" wrapText="1"/>
    </xf>
    <xf numFmtId="0" fontId="103" fillId="0" borderId="24" xfId="0" applyFont="1" applyBorder="1" applyAlignment="1">
      <alignment horizontal="center" vertical="center" wrapText="1"/>
    </xf>
    <xf numFmtId="0" fontId="103" fillId="0" borderId="25" xfId="0" applyFont="1" applyBorder="1" applyAlignment="1">
      <alignment horizontal="center" vertical="center" wrapText="1"/>
    </xf>
    <xf numFmtId="0" fontId="85" fillId="0" borderId="33"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85" fillId="0" borderId="10" xfId="0" applyFont="1" applyBorder="1" applyAlignment="1">
      <alignment horizontal="center" vertical="center"/>
    </xf>
    <xf numFmtId="0" fontId="0" fillId="0" borderId="10" xfId="0" applyBorder="1" applyAlignment="1">
      <alignment horizontal="center" vertical="center" wrapText="1"/>
    </xf>
    <xf numFmtId="0" fontId="85" fillId="0" borderId="33"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8" xfId="60"/>
    <cellStyle name="Note" xfId="61"/>
    <cellStyle name="Output" xfId="62"/>
    <cellStyle name="Percent" xfId="63"/>
    <cellStyle name="Title" xfId="64"/>
    <cellStyle name="Total" xfId="65"/>
    <cellStyle name="Warning Text"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ONGCU~1\AppData\Local\Temp\Vet%20lu.QB_A.Pho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h&#7909;%20l&#7909;c%20d&#7921;%20to&#225;n%20(DT%20Q&#272;U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ông trình"/>
      <sheetName val="Giá tháng"/>
      <sheetName val="HaoPhiVatTu"/>
      <sheetName val="Tổng hợp VT"/>
      <sheetName val="Cước VC"/>
      <sheetName val="Cước bộ"/>
      <sheetName val="Đơn giá chi tiết"/>
      <sheetName val="Giá tổng hợp"/>
      <sheetName val="THKP hạng mục"/>
      <sheetName val="TH chi phí XD"/>
      <sheetName val="TH chi phí TB"/>
      <sheetName val="HM chung"/>
      <sheetName val="Dự phòng"/>
      <sheetName val="TH kinh phí"/>
      <sheetName val="Công trình TL"/>
      <sheetName val="Chiết tính"/>
      <sheetName val="Hệ số"/>
      <sheetName val="Đơn giá TH"/>
      <sheetName val="Dự thầu"/>
      <sheetName val="HM chung thầu"/>
      <sheetName val="Dự phòng thầu"/>
      <sheetName val="Dự toán gói thầu"/>
      <sheetName val="Phân tích VT"/>
      <sheetName val="Bìa"/>
      <sheetName val="NhiênLiệu"/>
      <sheetName val="Thẩm định"/>
      <sheetName val="Thép"/>
      <sheetName val="HSXL"/>
      <sheetName val="Quyết toán"/>
      <sheetName val="Giá tháng QT"/>
      <sheetName val="HaoPhiVatTu QT"/>
      <sheetName val="Tổng hợp VT QT"/>
      <sheetName val="Cước VC QT"/>
      <sheetName val="Cước bộ QT"/>
      <sheetName val="NhiênLiệu QT"/>
      <sheetName val="Chiết tính QT"/>
      <sheetName val="Dự thầu QT"/>
      <sheetName val="Hệ số QT"/>
      <sheetName val="HSXLQT"/>
      <sheetName val="KL hoàn thành"/>
      <sheetName val="KL phát sinh"/>
      <sheetName val="Tổng hợp QT"/>
      <sheetName val="Cấu hình"/>
    </sheetNames>
    <sheetDataSet>
      <sheetData sheetId="3">
        <row r="14">
          <cell r="R14">
            <v>22986600</v>
          </cell>
        </row>
        <row r="17">
          <cell r="R17">
            <v>-2596843</v>
          </cell>
        </row>
      </sheetData>
      <sheetData sheetId="27">
        <row r="14">
          <cell r="C14" t="str">
            <v>65%</v>
          </cell>
          <cell r="D14">
            <v>0.65</v>
          </cell>
        </row>
        <row r="16">
          <cell r="C16" t="str">
            <v>5,5%</v>
          </cell>
          <cell r="D16">
            <v>0.055</v>
          </cell>
        </row>
        <row r="17">
          <cell r="D17">
            <v>0.1</v>
          </cell>
        </row>
        <row r="18">
          <cell r="D18">
            <v>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01-TONG"/>
      <sheetName val="DT năm 2019"/>
      <sheetName val="PL02-TL"/>
      <sheetName val="PL03- ĐÊ"/>
      <sheetName val="PL04-KE"/>
      <sheetName val="PL05-SAT LO"/>
      <sheetName val="PL06-DINH HUONG"/>
      <sheetName val="PL07-PHUONG TIEN"/>
      <sheetName val="PLKL 2019"/>
      <sheetName val="Phương tiện 2019"/>
      <sheetName val="PL LƯƠNG"/>
      <sheetName val="Tien"/>
      <sheetName val="00000000"/>
      <sheetName val="XL4Poppy"/>
    </sheetNames>
    <sheetDataSet>
      <sheetData sheetId="7">
        <row r="8">
          <cell r="E8">
            <v>12000</v>
          </cell>
        </row>
        <row r="9">
          <cell r="E9">
            <v>12000</v>
          </cell>
        </row>
        <row r="14">
          <cell r="E14">
            <v>12000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7"/>
  <sheetViews>
    <sheetView tabSelected="1" zoomScale="110" zoomScaleNormal="110" zoomScaleSheetLayoutView="115" zoomScalePageLayoutView="0" workbookViewId="0" topLeftCell="A1">
      <selection activeCell="A3" sqref="A3:G3"/>
    </sheetView>
  </sheetViews>
  <sheetFormatPr defaultColWidth="9.140625" defaultRowHeight="15"/>
  <cols>
    <col min="1" max="1" width="5.140625" style="195" customWidth="1"/>
    <col min="2" max="2" width="61.28125" style="252" customWidth="1"/>
    <col min="3" max="3" width="12.57421875" style="196" customWidth="1"/>
    <col min="4" max="4" width="9.00390625" style="197" bestFit="1" customWidth="1"/>
    <col min="5" max="5" width="12.421875" style="198" customWidth="1"/>
    <col min="6" max="6" width="14.28125" style="197" bestFit="1" customWidth="1"/>
    <col min="7" max="7" width="14.140625" style="181" customWidth="1"/>
    <col min="8" max="8" width="18.421875" style="181" customWidth="1"/>
    <col min="9" max="9" width="19.140625" style="181" customWidth="1"/>
    <col min="10" max="16384" width="9.140625" style="181" customWidth="1"/>
  </cols>
  <sheetData>
    <row r="1" spans="1:7" ht="21.75" customHeight="1">
      <c r="A1" s="337" t="s">
        <v>427</v>
      </c>
      <c r="B1" s="337"/>
      <c r="C1" s="337"/>
      <c r="D1" s="337"/>
      <c r="E1" s="337"/>
      <c r="F1" s="337"/>
      <c r="G1" s="337"/>
    </row>
    <row r="2" spans="1:7" ht="16.5">
      <c r="A2" s="338" t="s">
        <v>426</v>
      </c>
      <c r="B2" s="338"/>
      <c r="C2" s="338"/>
      <c r="D2" s="338"/>
      <c r="E2" s="338"/>
      <c r="F2" s="338"/>
      <c r="G2" s="338"/>
    </row>
    <row r="3" spans="1:7" ht="17.25">
      <c r="A3" s="339" t="s">
        <v>502</v>
      </c>
      <c r="B3" s="340"/>
      <c r="C3" s="340"/>
      <c r="D3" s="340"/>
      <c r="E3" s="340"/>
      <c r="F3" s="340"/>
      <c r="G3" s="340"/>
    </row>
    <row r="4" spans="1:7" s="211" customFormat="1" ht="16.5">
      <c r="A4" s="341"/>
      <c r="B4" s="341"/>
      <c r="C4" s="341"/>
      <c r="D4" s="341"/>
      <c r="E4" s="341"/>
      <c r="F4" s="341"/>
      <c r="G4" s="341"/>
    </row>
    <row r="5" spans="1:7" ht="33">
      <c r="A5" s="212" t="s">
        <v>0</v>
      </c>
      <c r="B5" s="212" t="s">
        <v>1</v>
      </c>
      <c r="C5" s="212" t="s">
        <v>2</v>
      </c>
      <c r="D5" s="213" t="s">
        <v>179</v>
      </c>
      <c r="E5" s="214" t="s">
        <v>317</v>
      </c>
      <c r="F5" s="215" t="s">
        <v>321</v>
      </c>
      <c r="G5" s="216" t="s">
        <v>265</v>
      </c>
    </row>
    <row r="6" spans="1:9" s="221" customFormat="1" ht="33">
      <c r="A6" s="212" t="s">
        <v>5</v>
      </c>
      <c r="B6" s="217" t="s">
        <v>415</v>
      </c>
      <c r="C6" s="212"/>
      <c r="D6" s="213"/>
      <c r="E6" s="218"/>
      <c r="F6" s="218">
        <f>+F7+F12+F23</f>
        <v>55376000</v>
      </c>
      <c r="G6" s="220" t="s">
        <v>428</v>
      </c>
      <c r="H6" s="227"/>
      <c r="I6" s="227"/>
    </row>
    <row r="7" spans="1:9" s="221" customFormat="1" ht="16.5">
      <c r="A7" s="212">
        <v>1</v>
      </c>
      <c r="B7" s="217" t="s">
        <v>440</v>
      </c>
      <c r="C7" s="309"/>
      <c r="D7" s="310"/>
      <c r="E7" s="311"/>
      <c r="F7" s="227">
        <f>SUM(F8:F11)</f>
        <v>14516000</v>
      </c>
      <c r="G7" s="312"/>
      <c r="H7" s="227"/>
      <c r="I7" s="227"/>
    </row>
    <row r="8" spans="1:9" ht="40.5" customHeight="1">
      <c r="A8" s="222" t="s">
        <v>441</v>
      </c>
      <c r="B8" s="223" t="s">
        <v>338</v>
      </c>
      <c r="C8" s="325" t="s">
        <v>6</v>
      </c>
      <c r="D8" s="328">
        <f>2*2*9+2</f>
        <v>38</v>
      </c>
      <c r="E8" s="331">
        <f>'PL 2.1a'!$D$8</f>
        <v>191000</v>
      </c>
      <c r="F8" s="331">
        <f>+E8*D8</f>
        <v>7258000</v>
      </c>
      <c r="G8" s="334" t="s">
        <v>413</v>
      </c>
      <c r="I8" s="181">
        <f>2*19</f>
        <v>38</v>
      </c>
    </row>
    <row r="9" spans="1:7" ht="40.5" customHeight="1">
      <c r="A9" s="222" t="s">
        <v>442</v>
      </c>
      <c r="B9" s="223" t="s">
        <v>339</v>
      </c>
      <c r="C9" s="326"/>
      <c r="D9" s="329"/>
      <c r="E9" s="332"/>
      <c r="F9" s="332"/>
      <c r="G9" s="335"/>
    </row>
    <row r="10" spans="1:7" ht="33">
      <c r="A10" s="222" t="s">
        <v>443</v>
      </c>
      <c r="B10" s="223" t="s">
        <v>341</v>
      </c>
      <c r="C10" s="327"/>
      <c r="D10" s="330"/>
      <c r="E10" s="333"/>
      <c r="F10" s="333"/>
      <c r="G10" s="336"/>
    </row>
    <row r="11" spans="1:7" ht="72.75" customHeight="1">
      <c r="A11" s="222" t="s">
        <v>444</v>
      </c>
      <c r="B11" s="223" t="s">
        <v>340</v>
      </c>
      <c r="C11" s="222" t="s">
        <v>6</v>
      </c>
      <c r="D11" s="224">
        <f>2*19</f>
        <v>38</v>
      </c>
      <c r="E11" s="303">
        <f>'PL 2.1a'!$D$8</f>
        <v>191000</v>
      </c>
      <c r="F11" s="303">
        <f>D11*E11</f>
        <v>7258000</v>
      </c>
      <c r="G11" s="2" t="s">
        <v>413</v>
      </c>
    </row>
    <row r="12" spans="1:7" s="221" customFormat="1" ht="21.75" customHeight="1">
      <c r="A12" s="313">
        <v>2</v>
      </c>
      <c r="B12" s="314" t="s">
        <v>414</v>
      </c>
      <c r="C12" s="315"/>
      <c r="D12" s="315"/>
      <c r="E12" s="316"/>
      <c r="F12" s="316">
        <f>SUM(F13:F22)</f>
        <v>27560000</v>
      </c>
      <c r="G12" s="233" t="s">
        <v>430</v>
      </c>
    </row>
    <row r="13" spans="1:7" s="221" customFormat="1" ht="21.75" customHeight="1">
      <c r="A13" s="229"/>
      <c r="B13" s="230" t="s">
        <v>383</v>
      </c>
      <c r="C13" s="231" t="s">
        <v>342</v>
      </c>
      <c r="D13" s="231">
        <v>50</v>
      </c>
      <c r="E13" s="232">
        <f>+'PL 2.2'!E7</f>
        <v>12000</v>
      </c>
      <c r="F13" s="232">
        <f>D13*E13</f>
        <v>600000</v>
      </c>
      <c r="G13" s="234" t="s">
        <v>343</v>
      </c>
    </row>
    <row r="14" spans="1:7" s="221" customFormat="1" ht="33">
      <c r="A14" s="229"/>
      <c r="B14" s="230" t="s">
        <v>392</v>
      </c>
      <c r="C14" s="231" t="s">
        <v>342</v>
      </c>
      <c r="D14" s="282">
        <f>+'PL 2.2'!D7</f>
        <v>270</v>
      </c>
      <c r="E14" s="232">
        <f>+$E$13</f>
        <v>12000</v>
      </c>
      <c r="F14" s="232">
        <f aca="true" t="shared" si="0" ref="F14:F24">+E14*D14</f>
        <v>3240000</v>
      </c>
      <c r="G14" s="234" t="s">
        <v>343</v>
      </c>
    </row>
    <row r="15" spans="1:7" s="221" customFormat="1" ht="33">
      <c r="A15" s="229"/>
      <c r="B15" s="230" t="s">
        <v>384</v>
      </c>
      <c r="C15" s="231" t="s">
        <v>342</v>
      </c>
      <c r="D15" s="282">
        <f>+'PL 2.2'!D8</f>
        <v>220</v>
      </c>
      <c r="E15" s="232">
        <f aca="true" t="shared" si="1" ref="E15:E21">+$E$13</f>
        <v>12000</v>
      </c>
      <c r="F15" s="232">
        <f t="shared" si="0"/>
        <v>2640000</v>
      </c>
      <c r="G15" s="234" t="s">
        <v>343</v>
      </c>
    </row>
    <row r="16" spans="1:7" s="221" customFormat="1" ht="33">
      <c r="A16" s="229"/>
      <c r="B16" s="230" t="s">
        <v>385</v>
      </c>
      <c r="C16" s="231" t="s">
        <v>342</v>
      </c>
      <c r="D16" s="282">
        <f>+'PL 2.2'!D10</f>
        <v>214</v>
      </c>
      <c r="E16" s="232">
        <f t="shared" si="1"/>
        <v>12000</v>
      </c>
      <c r="F16" s="232">
        <f t="shared" si="0"/>
        <v>2568000</v>
      </c>
      <c r="G16" s="234" t="s">
        <v>343</v>
      </c>
    </row>
    <row r="17" spans="1:7" s="221" customFormat="1" ht="33">
      <c r="A17" s="229"/>
      <c r="B17" s="230" t="s">
        <v>386</v>
      </c>
      <c r="C17" s="231" t="s">
        <v>342</v>
      </c>
      <c r="D17" s="282">
        <f>+'PL 2.2'!D11</f>
        <v>80</v>
      </c>
      <c r="E17" s="232">
        <f t="shared" si="1"/>
        <v>12000</v>
      </c>
      <c r="F17" s="232">
        <f t="shared" si="0"/>
        <v>960000</v>
      </c>
      <c r="G17" s="234" t="s">
        <v>343</v>
      </c>
    </row>
    <row r="18" spans="1:7" s="221" customFormat="1" ht="33">
      <c r="A18" s="229"/>
      <c r="B18" s="230" t="s">
        <v>387</v>
      </c>
      <c r="C18" s="231" t="s">
        <v>342</v>
      </c>
      <c r="D18" s="282">
        <f>+'PL 2.2'!D12</f>
        <v>280</v>
      </c>
      <c r="E18" s="232">
        <f t="shared" si="1"/>
        <v>12000</v>
      </c>
      <c r="F18" s="232">
        <f t="shared" si="0"/>
        <v>3360000</v>
      </c>
      <c r="G18" s="234" t="s">
        <v>343</v>
      </c>
    </row>
    <row r="19" spans="1:7" s="221" customFormat="1" ht="33">
      <c r="A19" s="229"/>
      <c r="B19" s="230" t="s">
        <v>388</v>
      </c>
      <c r="C19" s="231" t="s">
        <v>342</v>
      </c>
      <c r="D19" s="282">
        <f>+'PL 2.2'!D13</f>
        <v>460</v>
      </c>
      <c r="E19" s="232">
        <f t="shared" si="1"/>
        <v>12000</v>
      </c>
      <c r="F19" s="232">
        <f t="shared" si="0"/>
        <v>5520000</v>
      </c>
      <c r="G19" s="234" t="s">
        <v>343</v>
      </c>
    </row>
    <row r="20" spans="1:7" s="221" customFormat="1" ht="33">
      <c r="A20" s="229"/>
      <c r="B20" s="230" t="s">
        <v>389</v>
      </c>
      <c r="C20" s="231" t="s">
        <v>342</v>
      </c>
      <c r="D20" s="282">
        <f>+'PL 2.2'!D14</f>
        <v>382</v>
      </c>
      <c r="E20" s="232">
        <f t="shared" si="1"/>
        <v>12000</v>
      </c>
      <c r="F20" s="232">
        <f t="shared" si="0"/>
        <v>4584000</v>
      </c>
      <c r="G20" s="234" t="s">
        <v>343</v>
      </c>
    </row>
    <row r="21" spans="1:7" s="221" customFormat="1" ht="33">
      <c r="A21" s="229"/>
      <c r="B21" s="230" t="s">
        <v>390</v>
      </c>
      <c r="C21" s="231" t="s">
        <v>342</v>
      </c>
      <c r="D21" s="282">
        <f>+'PL 2.2'!D15</f>
        <v>174</v>
      </c>
      <c r="E21" s="232">
        <f t="shared" si="1"/>
        <v>12000</v>
      </c>
      <c r="F21" s="232">
        <f t="shared" si="0"/>
        <v>2088000</v>
      </c>
      <c r="G21" s="234" t="s">
        <v>343</v>
      </c>
    </row>
    <row r="22" spans="1:7" s="221" customFormat="1" ht="16.5">
      <c r="A22" s="229"/>
      <c r="B22" s="230" t="s">
        <v>391</v>
      </c>
      <c r="C22" s="231"/>
      <c r="D22" s="231"/>
      <c r="E22" s="232">
        <v>2000000</v>
      </c>
      <c r="F22" s="232">
        <f>+E22</f>
        <v>2000000</v>
      </c>
      <c r="G22" s="234" t="s">
        <v>412</v>
      </c>
    </row>
    <row r="23" spans="1:7" s="221" customFormat="1" ht="16.5">
      <c r="A23" s="313">
        <v>3</v>
      </c>
      <c r="B23" s="314" t="s">
        <v>437</v>
      </c>
      <c r="C23" s="315"/>
      <c r="D23" s="315"/>
      <c r="E23" s="316"/>
      <c r="F23" s="316">
        <f>SUM(F24:F24)</f>
        <v>13300000</v>
      </c>
      <c r="G23" s="317"/>
    </row>
    <row r="24" spans="1:7" s="221" customFormat="1" ht="45">
      <c r="A24" s="261" t="s">
        <v>237</v>
      </c>
      <c r="B24" s="230" t="s">
        <v>445</v>
      </c>
      <c r="C24" s="231" t="s">
        <v>344</v>
      </c>
      <c r="D24" s="231">
        <f>2*19</f>
        <v>38</v>
      </c>
      <c r="E24" s="232">
        <v>350000</v>
      </c>
      <c r="F24" s="232">
        <f t="shared" si="0"/>
        <v>13300000</v>
      </c>
      <c r="G24" s="233" t="s">
        <v>345</v>
      </c>
    </row>
    <row r="25" spans="1:8" s="221" customFormat="1" ht="33">
      <c r="A25" s="212" t="s">
        <v>7</v>
      </c>
      <c r="B25" s="235" t="s">
        <v>335</v>
      </c>
      <c r="C25" s="212"/>
      <c r="D25" s="213"/>
      <c r="E25" s="218"/>
      <c r="F25" s="219">
        <f>SUM(F26:F30)</f>
        <v>180000000</v>
      </c>
      <c r="G25" s="226"/>
      <c r="H25" s="227"/>
    </row>
    <row r="26" spans="1:7" ht="51.75" customHeight="1">
      <c r="A26" s="222">
        <v>1</v>
      </c>
      <c r="B26" s="223" t="s">
        <v>434</v>
      </c>
      <c r="C26" s="231" t="s">
        <v>329</v>
      </c>
      <c r="D26" s="224">
        <v>1</v>
      </c>
      <c r="E26" s="225">
        <v>15000000</v>
      </c>
      <c r="F26" s="237">
        <f>+E26*D26</f>
        <v>15000000</v>
      </c>
      <c r="G26" s="233" t="s">
        <v>327</v>
      </c>
    </row>
    <row r="27" spans="1:7" ht="51.75" customHeight="1">
      <c r="A27" s="222">
        <v>2</v>
      </c>
      <c r="B27" s="223" t="s">
        <v>497</v>
      </c>
      <c r="C27" s="231" t="s">
        <v>329</v>
      </c>
      <c r="D27" s="224">
        <v>1</v>
      </c>
      <c r="E27" s="225">
        <v>15000000</v>
      </c>
      <c r="F27" s="237">
        <f>+E27*D27</f>
        <v>15000000</v>
      </c>
      <c r="G27" s="233" t="s">
        <v>327</v>
      </c>
    </row>
    <row r="28" spans="1:7" ht="51.75" customHeight="1">
      <c r="A28" s="222">
        <v>3</v>
      </c>
      <c r="B28" s="223" t="s">
        <v>498</v>
      </c>
      <c r="C28" s="231" t="s">
        <v>329</v>
      </c>
      <c r="D28" s="224">
        <v>1</v>
      </c>
      <c r="E28" s="225">
        <v>30000000</v>
      </c>
      <c r="F28" s="237">
        <f>+E28*D28</f>
        <v>30000000</v>
      </c>
      <c r="G28" s="233" t="s">
        <v>326</v>
      </c>
    </row>
    <row r="29" spans="1:7" ht="45">
      <c r="A29" s="222">
        <v>4</v>
      </c>
      <c r="B29" s="238" t="s">
        <v>500</v>
      </c>
      <c r="C29" s="231" t="s">
        <v>329</v>
      </c>
      <c r="D29" s="231">
        <f>2*1.5</f>
        <v>3</v>
      </c>
      <c r="E29" s="239">
        <v>20000000</v>
      </c>
      <c r="F29" s="232">
        <f>+E29*D29</f>
        <v>60000000</v>
      </c>
      <c r="G29" s="233" t="s">
        <v>325</v>
      </c>
    </row>
    <row r="30" spans="1:7" ht="45">
      <c r="A30" s="222">
        <v>5</v>
      </c>
      <c r="B30" s="238" t="s">
        <v>499</v>
      </c>
      <c r="C30" s="231" t="s">
        <v>329</v>
      </c>
      <c r="D30" s="231">
        <f>2*1.5</f>
        <v>3</v>
      </c>
      <c r="E30" s="239">
        <v>20000000</v>
      </c>
      <c r="F30" s="232">
        <f>+E30*D30</f>
        <v>60000000</v>
      </c>
      <c r="G30" s="233" t="s">
        <v>325</v>
      </c>
    </row>
    <row r="31" spans="1:8" s="221" customFormat="1" ht="23.25" customHeight="1">
      <c r="A31" s="212" t="s">
        <v>141</v>
      </c>
      <c r="B31" s="235" t="s">
        <v>351</v>
      </c>
      <c r="C31" s="212"/>
      <c r="D31" s="213"/>
      <c r="E31" s="225"/>
      <c r="F31" s="219">
        <f>SUM(F32:F38)</f>
        <v>22840000</v>
      </c>
      <c r="G31" s="226" t="s">
        <v>431</v>
      </c>
      <c r="H31" s="227"/>
    </row>
    <row r="32" spans="1:7" s="221" customFormat="1" ht="45">
      <c r="A32" s="222">
        <v>1</v>
      </c>
      <c r="B32" s="241" t="s">
        <v>408</v>
      </c>
      <c r="C32" s="231" t="s">
        <v>318</v>
      </c>
      <c r="D32" s="229">
        <f>+'PL 2.3a'!D29</f>
        <v>46</v>
      </c>
      <c r="E32" s="242">
        <v>40000</v>
      </c>
      <c r="F32" s="243">
        <f>D32*E32</f>
        <v>1840000</v>
      </c>
      <c r="G32" s="233" t="s">
        <v>345</v>
      </c>
    </row>
    <row r="33" spans="1:7" s="221" customFormat="1" ht="16.5">
      <c r="A33" s="222">
        <v>2</v>
      </c>
      <c r="B33" s="240" t="s">
        <v>409</v>
      </c>
      <c r="C33" s="222" t="s">
        <v>319</v>
      </c>
      <c r="D33" s="224">
        <f>'PL 2.3a'!D29</f>
        <v>46</v>
      </c>
      <c r="E33" s="225">
        <v>100000</v>
      </c>
      <c r="F33" s="237">
        <f>D33*E33</f>
        <v>4600000</v>
      </c>
      <c r="G33" s="220" t="s">
        <v>330</v>
      </c>
    </row>
    <row r="34" spans="1:7" s="221" customFormat="1" ht="16.5">
      <c r="A34" s="222">
        <v>3</v>
      </c>
      <c r="B34" s="240" t="s">
        <v>352</v>
      </c>
      <c r="C34" s="222" t="s">
        <v>333</v>
      </c>
      <c r="D34" s="224">
        <v>2</v>
      </c>
      <c r="E34" s="225">
        <v>350000</v>
      </c>
      <c r="F34" s="237">
        <f>+E34*D34</f>
        <v>700000</v>
      </c>
      <c r="G34" s="220" t="s">
        <v>330</v>
      </c>
    </row>
    <row r="35" spans="1:7" s="221" customFormat="1" ht="16.5">
      <c r="A35" s="222">
        <v>4</v>
      </c>
      <c r="B35" s="240" t="s">
        <v>410</v>
      </c>
      <c r="C35" s="222" t="s">
        <v>319</v>
      </c>
      <c r="D35" s="224">
        <f>'PL 2.3a'!D29</f>
        <v>46</v>
      </c>
      <c r="E35" s="225">
        <v>50000</v>
      </c>
      <c r="F35" s="237">
        <f>+E35*D35</f>
        <v>2300000</v>
      </c>
      <c r="G35" s="220" t="s">
        <v>330</v>
      </c>
    </row>
    <row r="36" spans="1:7" s="221" customFormat="1" ht="45">
      <c r="A36" s="222">
        <v>5</v>
      </c>
      <c r="B36" s="240" t="s">
        <v>349</v>
      </c>
      <c r="C36" s="222" t="s">
        <v>350</v>
      </c>
      <c r="D36" s="224">
        <v>1</v>
      </c>
      <c r="E36" s="225">
        <v>5000000</v>
      </c>
      <c r="F36" s="237">
        <f>+E36*D36</f>
        <v>5000000</v>
      </c>
      <c r="G36" s="233" t="s">
        <v>345</v>
      </c>
    </row>
    <row r="37" spans="1:7" s="221" customFormat="1" ht="16.5">
      <c r="A37" s="222">
        <v>6</v>
      </c>
      <c r="B37" s="240" t="s">
        <v>347</v>
      </c>
      <c r="C37" s="222" t="s">
        <v>14</v>
      </c>
      <c r="D37" s="224">
        <v>1</v>
      </c>
      <c r="E37" s="225">
        <v>1500000</v>
      </c>
      <c r="F37" s="237">
        <f>+E37*D37</f>
        <v>1500000</v>
      </c>
      <c r="G37" s="220" t="s">
        <v>330</v>
      </c>
    </row>
    <row r="38" spans="1:7" s="221" customFormat="1" ht="45">
      <c r="A38" s="222">
        <v>7</v>
      </c>
      <c r="B38" s="240" t="s">
        <v>346</v>
      </c>
      <c r="C38" s="222" t="s">
        <v>353</v>
      </c>
      <c r="D38" s="224">
        <f>'PL 2.3a'!D29</f>
        <v>46</v>
      </c>
      <c r="E38" s="225">
        <v>150000</v>
      </c>
      <c r="F38" s="237">
        <f>+E38*D38</f>
        <v>6900000</v>
      </c>
      <c r="G38" s="233" t="s">
        <v>345</v>
      </c>
    </row>
    <row r="39" spans="1:8" s="221" customFormat="1" ht="16.5">
      <c r="A39" s="212" t="s">
        <v>162</v>
      </c>
      <c r="B39" s="235" t="s">
        <v>322</v>
      </c>
      <c r="C39" s="212"/>
      <c r="D39" s="213"/>
      <c r="E39" s="218"/>
      <c r="F39" s="219">
        <f>F40+F41</f>
        <v>31950000</v>
      </c>
      <c r="G39" s="220"/>
      <c r="H39" s="259"/>
    </row>
    <row r="40" spans="1:7" ht="16.5">
      <c r="A40" s="222">
        <v>1</v>
      </c>
      <c r="B40" s="240" t="s">
        <v>323</v>
      </c>
      <c r="C40" s="236" t="s">
        <v>319</v>
      </c>
      <c r="D40" s="244">
        <v>3</v>
      </c>
      <c r="E40" s="245">
        <v>1500000</v>
      </c>
      <c r="F40" s="246">
        <f>D40*E40</f>
        <v>4500000</v>
      </c>
      <c r="G40" s="220" t="s">
        <v>330</v>
      </c>
    </row>
    <row r="41" spans="1:7" ht="16.5">
      <c r="A41" s="222">
        <v>2</v>
      </c>
      <c r="B41" s="240" t="s">
        <v>324</v>
      </c>
      <c r="C41" s="222"/>
      <c r="D41" s="224"/>
      <c r="E41" s="225"/>
      <c r="F41" s="237">
        <f>+SUM(F42:F43)</f>
        <v>27450000</v>
      </c>
      <c r="G41" s="220" t="s">
        <v>330</v>
      </c>
    </row>
    <row r="42" spans="1:7" s="249" customFormat="1" ht="17.25">
      <c r="A42" s="247" t="s">
        <v>334</v>
      </c>
      <c r="B42" s="248" t="s">
        <v>354</v>
      </c>
      <c r="C42" s="236" t="s">
        <v>348</v>
      </c>
      <c r="D42" s="244">
        <v>3</v>
      </c>
      <c r="E42" s="245">
        <v>150000</v>
      </c>
      <c r="F42" s="246">
        <f>D42*E42</f>
        <v>450000</v>
      </c>
      <c r="G42" s="220" t="s">
        <v>330</v>
      </c>
    </row>
    <row r="43" spans="1:7" s="249" customFormat="1" ht="17.25">
      <c r="A43" s="247" t="s">
        <v>334</v>
      </c>
      <c r="B43" s="248" t="s">
        <v>355</v>
      </c>
      <c r="C43" s="236" t="s">
        <v>328</v>
      </c>
      <c r="D43" s="244">
        <v>3</v>
      </c>
      <c r="E43" s="245">
        <v>9000000</v>
      </c>
      <c r="F43" s="246">
        <f>+E43*D43</f>
        <v>27000000</v>
      </c>
      <c r="G43" s="220" t="s">
        <v>330</v>
      </c>
    </row>
    <row r="44" spans="1:9" ht="16.5">
      <c r="A44" s="212"/>
      <c r="B44" s="212" t="s">
        <v>331</v>
      </c>
      <c r="C44" s="212"/>
      <c r="D44" s="213"/>
      <c r="E44" s="218"/>
      <c r="F44" s="250">
        <f>+F6+F25+F31+F39</f>
        <v>290166000</v>
      </c>
      <c r="G44" s="226"/>
      <c r="H44" s="251"/>
      <c r="I44" s="260"/>
    </row>
    <row r="45" spans="1:7" ht="16.5">
      <c r="A45" s="212"/>
      <c r="B45" s="212" t="s">
        <v>332</v>
      </c>
      <c r="C45" s="212"/>
      <c r="D45" s="213"/>
      <c r="E45" s="218"/>
      <c r="F45" s="218">
        <f>+F44*0.1</f>
        <v>29016600</v>
      </c>
      <c r="G45" s="226"/>
    </row>
    <row r="46" spans="1:7" ht="16.5">
      <c r="A46" s="212"/>
      <c r="B46" s="212" t="s">
        <v>175</v>
      </c>
      <c r="C46" s="212"/>
      <c r="D46" s="213"/>
      <c r="E46" s="218"/>
      <c r="F46" s="228">
        <f>+ROUND(F45+F44,-3)</f>
        <v>319183000</v>
      </c>
      <c r="G46" s="226"/>
    </row>
    <row r="47" spans="1:8" s="221" customFormat="1" ht="26.25" customHeight="1">
      <c r="A47" s="322" t="s">
        <v>459</v>
      </c>
      <c r="B47" s="323"/>
      <c r="C47" s="323"/>
      <c r="D47" s="323"/>
      <c r="E47" s="323"/>
      <c r="F47" s="323"/>
      <c r="G47" s="324"/>
      <c r="H47" s="227"/>
    </row>
    <row r="48" spans="1:7" ht="16.5">
      <c r="A48" s="320"/>
      <c r="B48" s="321"/>
      <c r="C48" s="321"/>
      <c r="D48" s="321"/>
      <c r="E48" s="321"/>
      <c r="F48" s="321"/>
      <c r="G48" s="321"/>
    </row>
    <row r="49" spans="1:6" ht="16.5">
      <c r="A49" s="182"/>
      <c r="B49" s="187"/>
      <c r="C49" s="184"/>
      <c r="D49" s="185"/>
      <c r="E49" s="186"/>
      <c r="F49" s="185"/>
    </row>
    <row r="50" spans="1:6" ht="16.5">
      <c r="A50" s="182"/>
      <c r="B50" s="188"/>
      <c r="C50" s="184"/>
      <c r="D50" s="185"/>
      <c r="E50" s="186"/>
      <c r="F50" s="199"/>
    </row>
    <row r="51" spans="1:6" ht="16.5">
      <c r="A51" s="182"/>
      <c r="B51" s="188"/>
      <c r="C51" s="184"/>
      <c r="D51" s="185"/>
      <c r="E51" s="186"/>
      <c r="F51" s="185"/>
    </row>
    <row r="52" spans="1:6" ht="16.5">
      <c r="A52" s="182"/>
      <c r="B52" s="187"/>
      <c r="C52" s="184"/>
      <c r="D52" s="185"/>
      <c r="E52" s="186"/>
      <c r="F52" s="185"/>
    </row>
    <row r="53" spans="1:8" ht="16.5">
      <c r="A53" s="182"/>
      <c r="B53" s="187"/>
      <c r="C53" s="184"/>
      <c r="D53" s="185"/>
      <c r="E53" s="186"/>
      <c r="F53" s="199"/>
      <c r="H53" s="251"/>
    </row>
    <row r="54" spans="1:8" ht="16.5">
      <c r="A54" s="182"/>
      <c r="B54" s="187"/>
      <c r="C54" s="184"/>
      <c r="D54" s="185"/>
      <c r="E54" s="186"/>
      <c r="F54" s="185"/>
      <c r="H54" s="251"/>
    </row>
    <row r="55" spans="1:6" ht="16.5">
      <c r="A55" s="189"/>
      <c r="B55" s="187"/>
      <c r="C55" s="184"/>
      <c r="D55" s="190"/>
      <c r="E55" s="191"/>
      <c r="F55" s="190"/>
    </row>
    <row r="56" spans="1:6" ht="16.5">
      <c r="A56" s="182"/>
      <c r="B56" s="187"/>
      <c r="C56" s="184"/>
      <c r="D56" s="185"/>
      <c r="E56" s="186"/>
      <c r="F56" s="185"/>
    </row>
    <row r="57" spans="1:6" ht="16.5">
      <c r="A57" s="182"/>
      <c r="B57" s="187"/>
      <c r="C57" s="184"/>
      <c r="D57" s="185"/>
      <c r="E57" s="186"/>
      <c r="F57" s="185"/>
    </row>
    <row r="58" spans="1:6" ht="16.5">
      <c r="A58" s="182"/>
      <c r="B58" s="187"/>
      <c r="C58" s="184"/>
      <c r="D58" s="185"/>
      <c r="E58" s="186"/>
      <c r="F58" s="185"/>
    </row>
    <row r="59" spans="1:6" ht="16.5">
      <c r="A59" s="182"/>
      <c r="B59" s="187"/>
      <c r="C59" s="184"/>
      <c r="D59" s="185"/>
      <c r="E59" s="186"/>
      <c r="F59" s="185"/>
    </row>
    <row r="60" spans="1:6" ht="16.5">
      <c r="A60" s="182"/>
      <c r="B60" s="187"/>
      <c r="C60" s="184"/>
      <c r="D60" s="185"/>
      <c r="E60" s="186"/>
      <c r="F60" s="185"/>
    </row>
    <row r="61" spans="1:6" ht="16.5">
      <c r="A61" s="182"/>
      <c r="B61" s="183"/>
      <c r="C61" s="184"/>
      <c r="D61" s="185"/>
      <c r="E61" s="186"/>
      <c r="F61" s="185"/>
    </row>
    <row r="62" spans="1:6" ht="16.5">
      <c r="A62" s="182"/>
      <c r="B62" s="187"/>
      <c r="C62" s="184"/>
      <c r="D62" s="185"/>
      <c r="E62" s="186"/>
      <c r="F62" s="185"/>
    </row>
    <row r="63" spans="1:6" ht="16.5">
      <c r="A63" s="182"/>
      <c r="B63" s="187"/>
      <c r="C63" s="184"/>
      <c r="D63" s="185"/>
      <c r="E63" s="186"/>
      <c r="F63" s="185"/>
    </row>
    <row r="64" spans="1:6" ht="16.5">
      <c r="A64" s="182"/>
      <c r="B64" s="187"/>
      <c r="C64" s="184"/>
      <c r="D64" s="185"/>
      <c r="E64" s="186"/>
      <c r="F64" s="185"/>
    </row>
    <row r="65" spans="1:6" ht="16.5">
      <c r="A65" s="182"/>
      <c r="B65" s="187"/>
      <c r="C65" s="184"/>
      <c r="D65" s="185"/>
      <c r="E65" s="186"/>
      <c r="F65" s="185"/>
    </row>
    <row r="66" spans="1:6" ht="16.5">
      <c r="A66" s="182"/>
      <c r="B66" s="187"/>
      <c r="C66" s="184"/>
      <c r="D66" s="185"/>
      <c r="E66" s="186"/>
      <c r="F66" s="185"/>
    </row>
    <row r="67" spans="1:6" ht="16.5">
      <c r="A67" s="182"/>
      <c r="B67" s="187"/>
      <c r="C67" s="184"/>
      <c r="D67" s="185"/>
      <c r="E67" s="186"/>
      <c r="F67" s="185"/>
    </row>
    <row r="68" spans="1:6" ht="16.5">
      <c r="A68" s="182"/>
      <c r="B68" s="187"/>
      <c r="C68" s="184"/>
      <c r="D68" s="185"/>
      <c r="E68" s="186"/>
      <c r="F68" s="185"/>
    </row>
    <row r="69" spans="1:6" s="221" customFormat="1" ht="16.5">
      <c r="A69" s="182"/>
      <c r="B69" s="183"/>
      <c r="C69" s="182"/>
      <c r="D69" s="192"/>
      <c r="E69" s="193"/>
      <c r="F69" s="192"/>
    </row>
    <row r="70" spans="1:6" ht="16.5">
      <c r="A70" s="182"/>
      <c r="B70" s="183"/>
      <c r="C70" s="184"/>
      <c r="D70" s="185"/>
      <c r="E70" s="186"/>
      <c r="F70" s="185"/>
    </row>
    <row r="71" spans="1:6" ht="16.5">
      <c r="A71" s="182"/>
      <c r="B71" s="183"/>
      <c r="C71" s="184"/>
      <c r="D71" s="185"/>
      <c r="E71" s="186"/>
      <c r="F71" s="185"/>
    </row>
    <row r="72" spans="1:6" ht="16.5">
      <c r="A72" s="182"/>
      <c r="B72" s="183"/>
      <c r="C72" s="184"/>
      <c r="D72" s="185"/>
      <c r="E72" s="186"/>
      <c r="F72" s="185"/>
    </row>
    <row r="73" spans="1:6" ht="16.5">
      <c r="A73" s="182"/>
      <c r="B73" s="183"/>
      <c r="C73" s="184"/>
      <c r="D73" s="185"/>
      <c r="E73" s="186"/>
      <c r="F73" s="185"/>
    </row>
    <row r="74" spans="1:6" ht="16.5">
      <c r="A74" s="182"/>
      <c r="B74" s="183"/>
      <c r="C74" s="184"/>
      <c r="D74" s="185"/>
      <c r="E74" s="186"/>
      <c r="F74" s="185"/>
    </row>
    <row r="75" spans="1:6" ht="16.5">
      <c r="A75" s="182"/>
      <c r="B75" s="187"/>
      <c r="C75" s="187"/>
      <c r="D75" s="185"/>
      <c r="E75" s="186"/>
      <c r="F75" s="185"/>
    </row>
    <row r="76" spans="1:6" ht="16.5">
      <c r="A76" s="182"/>
      <c r="B76" s="187"/>
      <c r="C76" s="187"/>
      <c r="D76" s="185"/>
      <c r="E76" s="186"/>
      <c r="F76" s="185"/>
    </row>
    <row r="77" spans="1:6" ht="16.5">
      <c r="A77" s="189"/>
      <c r="B77" s="188"/>
      <c r="C77" s="194"/>
      <c r="D77" s="190"/>
      <c r="E77" s="191"/>
      <c r="F77" s="190"/>
    </row>
  </sheetData>
  <sheetProtection/>
  <mergeCells count="11">
    <mergeCell ref="A1:G1"/>
    <mergeCell ref="A2:G2"/>
    <mergeCell ref="A3:G3"/>
    <mergeCell ref="A4:G4"/>
    <mergeCell ref="A48:G48"/>
    <mergeCell ref="A47:G47"/>
    <mergeCell ref="C8:C10"/>
    <mergeCell ref="D8:D10"/>
    <mergeCell ref="E8:E10"/>
    <mergeCell ref="F8:F10"/>
    <mergeCell ref="G8:G10"/>
  </mergeCells>
  <printOptions horizontalCentered="1"/>
  <pageMargins left="0.4" right="0.4" top="0.604330709" bottom="0.2" header="0.31496062992126" footer="0.2"/>
  <pageSetup horizontalDpi="600" verticalDpi="600" orientation="landscape" paperSize="9" r:id="rId1"/>
  <rowBreaks count="1" manualBreakCount="1">
    <brk id="47" max="255" man="1"/>
  </rowBreaks>
</worksheet>
</file>

<file path=xl/worksheets/sheet10.xml><?xml version="1.0" encoding="utf-8"?>
<worksheet xmlns="http://schemas.openxmlformats.org/spreadsheetml/2006/main" xmlns:r="http://schemas.openxmlformats.org/officeDocument/2006/relationships">
  <dimension ref="B2:G20"/>
  <sheetViews>
    <sheetView zoomScalePageLayoutView="0" workbookViewId="0" topLeftCell="A1">
      <selection activeCell="D3" sqref="D3:F20"/>
    </sheetView>
  </sheetViews>
  <sheetFormatPr defaultColWidth="9.140625" defaultRowHeight="15"/>
  <cols>
    <col min="2" max="2" width="61.28125" style="0" customWidth="1"/>
    <col min="6" max="6" width="10.7109375" style="0" bestFit="1" customWidth="1"/>
  </cols>
  <sheetData>
    <row r="2" spans="2:7" ht="15">
      <c r="B2" s="1" t="s">
        <v>11</v>
      </c>
      <c r="C2" s="11" t="s">
        <v>2</v>
      </c>
      <c r="D2" s="11" t="s">
        <v>179</v>
      </c>
      <c r="E2" s="11" t="s">
        <v>180</v>
      </c>
      <c r="F2" s="11" t="s">
        <v>58</v>
      </c>
      <c r="G2" s="11" t="s">
        <v>45</v>
      </c>
    </row>
    <row r="3" spans="2:7" ht="30">
      <c r="B3" s="8" t="s">
        <v>12</v>
      </c>
      <c r="C3" s="39"/>
      <c r="D3" s="40"/>
      <c r="E3" s="38"/>
      <c r="F3" s="7">
        <f>SUM(F4:F12)</f>
        <v>4460000</v>
      </c>
      <c r="G3" s="6" t="s">
        <v>8</v>
      </c>
    </row>
    <row r="4" spans="2:7" ht="15">
      <c r="B4" s="5" t="s">
        <v>13</v>
      </c>
      <c r="C4" s="2" t="s">
        <v>14</v>
      </c>
      <c r="D4" s="3">
        <v>3</v>
      </c>
      <c r="E4" s="4">
        <v>200000</v>
      </c>
      <c r="F4" s="4">
        <f aca="true" t="shared" si="0" ref="F4:F12">E4*D4</f>
        <v>600000</v>
      </c>
      <c r="G4" s="2"/>
    </row>
    <row r="5" spans="2:7" ht="15">
      <c r="B5" s="5" t="s">
        <v>29</v>
      </c>
      <c r="C5" s="2" t="s">
        <v>30</v>
      </c>
      <c r="D5" s="3">
        <v>3</v>
      </c>
      <c r="E5" s="4">
        <v>100000</v>
      </c>
      <c r="F5" s="4">
        <f t="shared" si="0"/>
        <v>300000</v>
      </c>
      <c r="G5" s="2"/>
    </row>
    <row r="6" spans="2:7" ht="15">
      <c r="B6" s="5" t="s">
        <v>31</v>
      </c>
      <c r="C6" s="2" t="s">
        <v>30</v>
      </c>
      <c r="D6" s="3">
        <v>2</v>
      </c>
      <c r="E6" s="4">
        <v>300000</v>
      </c>
      <c r="F6" s="4">
        <f t="shared" si="0"/>
        <v>600000</v>
      </c>
      <c r="G6" s="2"/>
    </row>
    <row r="7" spans="2:7" ht="15">
      <c r="B7" s="5" t="s">
        <v>16</v>
      </c>
      <c r="C7" s="2" t="s">
        <v>17</v>
      </c>
      <c r="D7" s="41">
        <v>3</v>
      </c>
      <c r="E7" s="9">
        <v>100000</v>
      </c>
      <c r="F7" s="4">
        <f t="shared" si="0"/>
        <v>300000</v>
      </c>
      <c r="G7" s="42"/>
    </row>
    <row r="8" spans="2:7" ht="15">
      <c r="B8" s="5" t="s">
        <v>18</v>
      </c>
      <c r="C8" s="2" t="s">
        <v>17</v>
      </c>
      <c r="D8" s="3">
        <v>15</v>
      </c>
      <c r="E8" s="4">
        <v>50000</v>
      </c>
      <c r="F8" s="4">
        <f t="shared" si="0"/>
        <v>750000</v>
      </c>
      <c r="G8" s="2"/>
    </row>
    <row r="9" spans="2:7" ht="15">
      <c r="B9" s="5" t="s">
        <v>32</v>
      </c>
      <c r="C9" s="2" t="s">
        <v>22</v>
      </c>
      <c r="D9" s="3">
        <v>20</v>
      </c>
      <c r="E9" s="4">
        <v>3000</v>
      </c>
      <c r="F9" s="4">
        <f t="shared" si="0"/>
        <v>60000</v>
      </c>
      <c r="G9" s="2"/>
    </row>
    <row r="10" spans="2:7" ht="15">
      <c r="B10" s="5" t="s">
        <v>33</v>
      </c>
      <c r="C10" s="2" t="s">
        <v>22</v>
      </c>
      <c r="D10" s="3">
        <v>20</v>
      </c>
      <c r="E10" s="4">
        <v>2500</v>
      </c>
      <c r="F10" s="4">
        <f t="shared" si="0"/>
        <v>50000</v>
      </c>
      <c r="G10" s="2"/>
    </row>
    <row r="11" spans="2:7" ht="15">
      <c r="B11" s="5" t="s">
        <v>19</v>
      </c>
      <c r="C11" s="2" t="s">
        <v>20</v>
      </c>
      <c r="D11" s="3">
        <v>4000</v>
      </c>
      <c r="E11" s="4">
        <v>200</v>
      </c>
      <c r="F11" s="4">
        <f t="shared" si="0"/>
        <v>800000</v>
      </c>
      <c r="G11" s="2"/>
    </row>
    <row r="12" spans="2:7" ht="15">
      <c r="B12" s="5" t="s">
        <v>21</v>
      </c>
      <c r="C12" s="2" t="s">
        <v>22</v>
      </c>
      <c r="D12" s="3">
        <v>20</v>
      </c>
      <c r="E12" s="4">
        <v>50000</v>
      </c>
      <c r="F12" s="4">
        <f t="shared" si="0"/>
        <v>1000000</v>
      </c>
      <c r="G12" s="2"/>
    </row>
    <row r="13" spans="2:7" ht="30">
      <c r="B13" s="8" t="s">
        <v>23</v>
      </c>
      <c r="C13" s="39"/>
      <c r="D13" s="40"/>
      <c r="E13" s="38"/>
      <c r="F13" s="7">
        <f>SUM(F14:F20)</f>
        <v>4170000</v>
      </c>
      <c r="G13" s="6" t="s">
        <v>8</v>
      </c>
    </row>
    <row r="14" spans="2:7" ht="15">
      <c r="B14" s="5" t="s">
        <v>24</v>
      </c>
      <c r="C14" s="2" t="s">
        <v>15</v>
      </c>
      <c r="D14" s="3">
        <v>14</v>
      </c>
      <c r="E14" s="4">
        <v>35000</v>
      </c>
      <c r="F14" s="4">
        <f>E14*D14</f>
        <v>490000</v>
      </c>
      <c r="G14" s="10"/>
    </row>
    <row r="15" spans="2:7" ht="15">
      <c r="B15" s="5" t="s">
        <v>25</v>
      </c>
      <c r="C15" s="2" t="s">
        <v>22</v>
      </c>
      <c r="D15" s="3">
        <v>30</v>
      </c>
      <c r="E15" s="4">
        <v>10000</v>
      </c>
      <c r="F15" s="4">
        <f aca="true" t="shared" si="1" ref="F15:F20">D15*E15</f>
        <v>300000</v>
      </c>
      <c r="G15" s="2"/>
    </row>
    <row r="16" spans="2:7" ht="15">
      <c r="B16" s="5" t="s">
        <v>28</v>
      </c>
      <c r="C16" s="2" t="s">
        <v>22</v>
      </c>
      <c r="D16" s="3">
        <v>6</v>
      </c>
      <c r="E16" s="4">
        <v>50000</v>
      </c>
      <c r="F16" s="4">
        <f t="shared" si="1"/>
        <v>300000</v>
      </c>
      <c r="G16" s="2"/>
    </row>
    <row r="17" spans="2:7" ht="15">
      <c r="B17" s="5" t="s">
        <v>34</v>
      </c>
      <c r="C17" s="2" t="s">
        <v>22</v>
      </c>
      <c r="D17" s="3">
        <v>18</v>
      </c>
      <c r="E17" s="4">
        <v>100000</v>
      </c>
      <c r="F17" s="4">
        <f>D17*E17</f>
        <v>1800000</v>
      </c>
      <c r="G17" s="2"/>
    </row>
    <row r="18" spans="2:7" ht="15">
      <c r="B18" s="5" t="s">
        <v>35</v>
      </c>
      <c r="C18" s="2" t="s">
        <v>36</v>
      </c>
      <c r="D18" s="3">
        <v>18</v>
      </c>
      <c r="E18" s="4">
        <v>50000</v>
      </c>
      <c r="F18" s="4">
        <f t="shared" si="1"/>
        <v>900000</v>
      </c>
      <c r="G18" s="2"/>
    </row>
    <row r="19" spans="2:7" ht="15">
      <c r="B19" s="5" t="s">
        <v>37</v>
      </c>
      <c r="C19" s="2" t="s">
        <v>38</v>
      </c>
      <c r="D19" s="3">
        <v>18</v>
      </c>
      <c r="E19" s="4">
        <v>10000</v>
      </c>
      <c r="F19" s="4">
        <f t="shared" si="1"/>
        <v>180000</v>
      </c>
      <c r="G19" s="2"/>
    </row>
    <row r="20" spans="2:7" ht="15">
      <c r="B20" s="5" t="s">
        <v>26</v>
      </c>
      <c r="C20" s="2" t="s">
        <v>15</v>
      </c>
      <c r="D20" s="3">
        <v>2</v>
      </c>
      <c r="E20" s="4">
        <v>100000</v>
      </c>
      <c r="F20" s="4">
        <f t="shared" si="1"/>
        <v>200000</v>
      </c>
      <c r="G20" s="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6"/>
  <sheetViews>
    <sheetView zoomScalePageLayoutView="0" workbookViewId="0" topLeftCell="A1">
      <selection activeCell="F4" sqref="F4"/>
    </sheetView>
  </sheetViews>
  <sheetFormatPr defaultColWidth="9.140625" defaultRowHeight="36.75" customHeight="1"/>
  <cols>
    <col min="1" max="1" width="8.8515625" style="44" customWidth="1"/>
    <col min="4" max="5" width="8.8515625" style="44" customWidth="1"/>
    <col min="6" max="6" width="19.7109375" style="44" bestFit="1" customWidth="1"/>
    <col min="7" max="9" width="8.8515625" style="44" customWidth="1"/>
  </cols>
  <sheetData>
    <row r="1" ht="36.75" customHeight="1">
      <c r="A1" s="43" t="s">
        <v>184</v>
      </c>
    </row>
    <row r="2" ht="36.75" customHeight="1">
      <c r="A2" s="43" t="s">
        <v>185</v>
      </c>
    </row>
    <row r="3" spans="1:7" ht="36.75" customHeight="1">
      <c r="A3" s="45" t="s">
        <v>186</v>
      </c>
      <c r="F3" s="46">
        <f>'truyen trieu'!G9</f>
        <v>1103000</v>
      </c>
      <c r="G3" s="44" t="s">
        <v>187</v>
      </c>
    </row>
    <row r="4" spans="1:7" ht="36.75" customHeight="1">
      <c r="A4" s="45" t="s">
        <v>188</v>
      </c>
      <c r="F4" s="46">
        <f>bientap!F54</f>
        <v>4587000</v>
      </c>
      <c r="G4" s="44" t="s">
        <v>187</v>
      </c>
    </row>
    <row r="5" spans="1:7" ht="36.75" customHeight="1">
      <c r="A5" s="45" t="s">
        <v>189</v>
      </c>
      <c r="F5" s="46">
        <f>'khai thac'!F45</f>
        <v>5220000</v>
      </c>
      <c r="G5" s="44" t="s">
        <v>187</v>
      </c>
    </row>
    <row r="6" spans="1:7" ht="36.75" customHeight="1">
      <c r="A6" s="47" t="s">
        <v>190</v>
      </c>
      <c r="F6" s="48">
        <f>SUM(F3:F5)</f>
        <v>10910000</v>
      </c>
      <c r="G6" s="49" t="s">
        <v>187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9"/>
  <sheetViews>
    <sheetView zoomScalePageLayoutView="0" workbookViewId="0" topLeftCell="A1">
      <selection activeCell="E6" sqref="E6"/>
    </sheetView>
  </sheetViews>
  <sheetFormatPr defaultColWidth="9.140625" defaultRowHeight="27" customHeight="1"/>
  <cols>
    <col min="2" max="2" width="13.00390625" style="0" customWidth="1"/>
    <col min="6" max="7" width="14.57421875" style="0" bestFit="1" customWidth="1"/>
  </cols>
  <sheetData>
    <row r="1" ht="27" customHeight="1">
      <c r="A1" s="45" t="s">
        <v>191</v>
      </c>
    </row>
    <row r="2" ht="27" customHeight="1">
      <c r="A2" s="45" t="s">
        <v>192</v>
      </c>
    </row>
    <row r="3" ht="27" customHeight="1">
      <c r="A3" s="50" t="s">
        <v>193</v>
      </c>
    </row>
    <row r="4" spans="1:7" ht="27" customHeight="1">
      <c r="A4" s="51" t="s">
        <v>0</v>
      </c>
      <c r="B4" s="51" t="s">
        <v>194</v>
      </c>
      <c r="C4" s="52" t="s">
        <v>195</v>
      </c>
      <c r="D4" s="51" t="s">
        <v>2</v>
      </c>
      <c r="E4" s="51" t="s">
        <v>3</v>
      </c>
      <c r="F4" s="51" t="s">
        <v>196</v>
      </c>
      <c r="G4" s="51" t="s">
        <v>197</v>
      </c>
    </row>
    <row r="5" spans="1:7" ht="27" customHeight="1">
      <c r="A5" s="51">
        <v>1</v>
      </c>
      <c r="B5" s="53" t="s">
        <v>198</v>
      </c>
      <c r="C5" s="54">
        <v>2016</v>
      </c>
      <c r="D5" s="53" t="s">
        <v>199</v>
      </c>
      <c r="E5" s="55">
        <v>1</v>
      </c>
      <c r="F5" s="56">
        <v>1002716</v>
      </c>
      <c r="G5" s="56">
        <f>+F5*E5</f>
        <v>1002716</v>
      </c>
    </row>
    <row r="6" spans="1:7" ht="27" customHeight="1">
      <c r="A6" s="51"/>
      <c r="B6" s="51" t="s">
        <v>46</v>
      </c>
      <c r="C6" s="52"/>
      <c r="D6" s="51"/>
      <c r="E6" s="57"/>
      <c r="F6" s="51"/>
      <c r="G6" s="58">
        <f>SUM(G5)</f>
        <v>1002716</v>
      </c>
    </row>
    <row r="7" spans="1:7" ht="27" customHeight="1">
      <c r="A7" s="51"/>
      <c r="B7" s="51" t="s">
        <v>200</v>
      </c>
      <c r="C7" s="52"/>
      <c r="D7" s="51"/>
      <c r="E7" s="57"/>
      <c r="F7" s="51"/>
      <c r="G7" s="59">
        <f>+G6*0.1</f>
        <v>100271.6</v>
      </c>
    </row>
    <row r="8" spans="1:7" ht="27" customHeight="1">
      <c r="A8" s="51"/>
      <c r="B8" s="393" t="s">
        <v>201</v>
      </c>
      <c r="C8" s="393"/>
      <c r="D8" s="51"/>
      <c r="E8" s="57"/>
      <c r="F8" s="51"/>
      <c r="G8" s="58">
        <f>SUM(G6:G7)</f>
        <v>1102987.6</v>
      </c>
    </row>
    <row r="9" spans="1:7" ht="27" customHeight="1">
      <c r="A9" s="51"/>
      <c r="B9" s="393" t="s">
        <v>43</v>
      </c>
      <c r="C9" s="393"/>
      <c r="D9" s="51"/>
      <c r="E9" s="57"/>
      <c r="F9" s="51"/>
      <c r="G9" s="59">
        <v>1103000</v>
      </c>
    </row>
  </sheetData>
  <sheetProtection/>
  <mergeCells count="2">
    <mergeCell ref="B8:C8"/>
    <mergeCell ref="B9:C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4"/>
  <sheetViews>
    <sheetView zoomScalePageLayoutView="0" workbookViewId="0" topLeftCell="A1">
      <selection activeCell="A3" sqref="A3"/>
    </sheetView>
  </sheetViews>
  <sheetFormatPr defaultColWidth="9.140625" defaultRowHeight="27" customHeight="1"/>
  <cols>
    <col min="1" max="1" width="8.00390625" style="0" customWidth="1"/>
    <col min="2" max="2" width="16.57421875" style="0" customWidth="1"/>
    <col min="3" max="3" width="20.00390625" style="0" customWidth="1"/>
    <col min="4" max="4" width="12.140625" style="0" bestFit="1" customWidth="1"/>
    <col min="5" max="5" width="12.7109375" style="0" bestFit="1" customWidth="1"/>
    <col min="6" max="6" width="12.7109375" style="0" customWidth="1"/>
  </cols>
  <sheetData>
    <row r="1" ht="27" customHeight="1">
      <c r="A1" s="45" t="s">
        <v>202</v>
      </c>
    </row>
    <row r="2" ht="27" customHeight="1">
      <c r="A2" s="45" t="e">
        <f>+Theo đơn giá của Trung tâm nghiên cứu thủy văn và tài nguyên nước của Viện Khoa học khí tượng thủy văn và biến đổi khí hậu-Bộ tài nguyên Môi trường</f>
        <v>#NAME?</v>
      </c>
    </row>
    <row r="3" spans="1:7" ht="27" customHeight="1">
      <c r="A3" s="60" t="s">
        <v>203</v>
      </c>
      <c r="B3" s="61"/>
      <c r="C3" s="61"/>
      <c r="D3" s="61"/>
      <c r="E3" s="61"/>
      <c r="F3" s="61"/>
      <c r="G3" s="61"/>
    </row>
    <row r="4" spans="1:7" ht="27" customHeight="1">
      <c r="A4" s="61"/>
      <c r="B4" s="62" t="s">
        <v>194</v>
      </c>
      <c r="C4" s="62" t="s">
        <v>204</v>
      </c>
      <c r="D4" s="63" t="s">
        <v>199</v>
      </c>
      <c r="E4" s="62" t="s">
        <v>205</v>
      </c>
      <c r="F4" s="63" t="s">
        <v>206</v>
      </c>
      <c r="G4" s="63" t="s">
        <v>207</v>
      </c>
    </row>
    <row r="5" spans="1:7" ht="27" customHeight="1">
      <c r="A5" s="62" t="s">
        <v>208</v>
      </c>
      <c r="B5" s="62" t="s">
        <v>209</v>
      </c>
      <c r="C5" s="61"/>
      <c r="D5" s="64"/>
      <c r="E5" s="64"/>
      <c r="F5" s="61"/>
      <c r="G5" s="62">
        <f>SUM(G6:G15)</f>
        <v>10</v>
      </c>
    </row>
    <row r="6" spans="1:7" ht="27" customHeight="1">
      <c r="A6" s="60">
        <v>1</v>
      </c>
      <c r="B6" s="65" t="s">
        <v>210</v>
      </c>
      <c r="C6" s="66" t="s">
        <v>211</v>
      </c>
      <c r="D6" s="60">
        <v>2016</v>
      </c>
      <c r="E6" s="60">
        <v>1</v>
      </c>
      <c r="F6" s="67">
        <v>1</v>
      </c>
      <c r="G6" s="67">
        <f>+F6*E6</f>
        <v>1</v>
      </c>
    </row>
    <row r="7" spans="1:7" ht="27" customHeight="1">
      <c r="A7" s="61"/>
      <c r="B7" s="65"/>
      <c r="C7" s="66" t="s">
        <v>212</v>
      </c>
      <c r="D7" s="60">
        <v>2016</v>
      </c>
      <c r="E7" s="60">
        <v>1</v>
      </c>
      <c r="F7" s="67">
        <v>1</v>
      </c>
      <c r="G7" s="67">
        <f aca="true" t="shared" si="0" ref="G7:G15">+F7*E7</f>
        <v>1</v>
      </c>
    </row>
    <row r="8" spans="1:7" ht="27" customHeight="1">
      <c r="A8" s="61"/>
      <c r="B8" s="65"/>
      <c r="C8" s="66" t="s">
        <v>213</v>
      </c>
      <c r="D8" s="60">
        <v>2016</v>
      </c>
      <c r="E8" s="60">
        <v>1</v>
      </c>
      <c r="F8" s="67">
        <v>1</v>
      </c>
      <c r="G8" s="67">
        <f t="shared" si="0"/>
        <v>1</v>
      </c>
    </row>
    <row r="9" spans="1:7" ht="27" customHeight="1">
      <c r="A9" s="61"/>
      <c r="B9" s="65"/>
      <c r="C9" s="66" t="s">
        <v>214</v>
      </c>
      <c r="D9" s="60">
        <v>2016</v>
      </c>
      <c r="E9" s="60">
        <v>1</v>
      </c>
      <c r="F9" s="67">
        <v>1</v>
      </c>
      <c r="G9" s="67">
        <f t="shared" si="0"/>
        <v>1</v>
      </c>
    </row>
    <row r="10" spans="1:7" ht="27" customHeight="1">
      <c r="A10" s="61"/>
      <c r="B10" s="65"/>
      <c r="C10" s="66" t="s">
        <v>215</v>
      </c>
      <c r="D10" s="60">
        <v>2016</v>
      </c>
      <c r="E10" s="60">
        <v>1</v>
      </c>
      <c r="F10" s="67">
        <v>1</v>
      </c>
      <c r="G10" s="67">
        <f t="shared" si="0"/>
        <v>1</v>
      </c>
    </row>
    <row r="11" spans="1:7" ht="27" customHeight="1">
      <c r="A11" s="60">
        <v>2</v>
      </c>
      <c r="B11" s="65" t="s">
        <v>216</v>
      </c>
      <c r="C11" s="66" t="s">
        <v>211</v>
      </c>
      <c r="D11" s="60">
        <v>2016</v>
      </c>
      <c r="E11" s="60">
        <v>1</v>
      </c>
      <c r="F11" s="67">
        <v>1</v>
      </c>
      <c r="G11" s="67">
        <f t="shared" si="0"/>
        <v>1</v>
      </c>
    </row>
    <row r="12" spans="1:7" ht="27" customHeight="1">
      <c r="A12" s="61"/>
      <c r="B12" s="65"/>
      <c r="C12" s="66" t="s">
        <v>212</v>
      </c>
      <c r="D12" s="60">
        <v>2016</v>
      </c>
      <c r="E12" s="60">
        <v>1</v>
      </c>
      <c r="F12" s="67">
        <v>1</v>
      </c>
      <c r="G12" s="67">
        <f t="shared" si="0"/>
        <v>1</v>
      </c>
    </row>
    <row r="13" spans="1:7" ht="27" customHeight="1">
      <c r="A13" s="61"/>
      <c r="B13" s="65"/>
      <c r="C13" s="66" t="s">
        <v>213</v>
      </c>
      <c r="D13" s="60">
        <v>2016</v>
      </c>
      <c r="E13" s="60">
        <v>1</v>
      </c>
      <c r="F13" s="67">
        <v>1</v>
      </c>
      <c r="G13" s="67">
        <f t="shared" si="0"/>
        <v>1</v>
      </c>
    </row>
    <row r="14" spans="1:7" ht="27" customHeight="1">
      <c r="A14" s="61"/>
      <c r="B14" s="65"/>
      <c r="C14" s="66" t="s">
        <v>214</v>
      </c>
      <c r="D14" s="60">
        <v>2016</v>
      </c>
      <c r="E14" s="60">
        <v>1</v>
      </c>
      <c r="F14" s="67">
        <v>1</v>
      </c>
      <c r="G14" s="67">
        <f t="shared" si="0"/>
        <v>1</v>
      </c>
    </row>
    <row r="15" spans="1:7" ht="27" customHeight="1">
      <c r="A15" s="61"/>
      <c r="B15" s="65"/>
      <c r="C15" s="66" t="s">
        <v>215</v>
      </c>
      <c r="D15" s="60">
        <v>2016</v>
      </c>
      <c r="E15" s="60">
        <v>1</v>
      </c>
      <c r="F15" s="67">
        <v>1</v>
      </c>
      <c r="G15" s="67">
        <f t="shared" si="0"/>
        <v>1</v>
      </c>
    </row>
    <row r="16" spans="1:7" ht="27" customHeight="1">
      <c r="A16" s="62" t="s">
        <v>217</v>
      </c>
      <c r="B16" s="62" t="s">
        <v>218</v>
      </c>
      <c r="C16" s="61"/>
      <c r="D16" s="61"/>
      <c r="E16" s="64"/>
      <c r="F16" s="61"/>
      <c r="G16" s="61"/>
    </row>
    <row r="17" spans="1:7" ht="27" customHeight="1">
      <c r="A17" s="68" t="s">
        <v>181</v>
      </c>
      <c r="B17" s="68" t="s">
        <v>219</v>
      </c>
      <c r="C17" s="61"/>
      <c r="D17" s="64"/>
      <c r="E17" s="64"/>
      <c r="F17" s="61"/>
      <c r="G17" s="69">
        <f>SUM(G18:G21)</f>
        <v>4</v>
      </c>
    </row>
    <row r="18" spans="1:7" ht="27" customHeight="1">
      <c r="A18" s="60">
        <v>1</v>
      </c>
      <c r="B18" s="70" t="s">
        <v>210</v>
      </c>
      <c r="C18" s="66" t="s">
        <v>220</v>
      </c>
      <c r="D18" s="60">
        <v>2016</v>
      </c>
      <c r="E18" s="60">
        <v>1</v>
      </c>
      <c r="F18" s="67">
        <v>1</v>
      </c>
      <c r="G18" s="67">
        <f>+F18*E18</f>
        <v>1</v>
      </c>
    </row>
    <row r="19" spans="1:7" ht="27" customHeight="1">
      <c r="A19" s="60">
        <v>2</v>
      </c>
      <c r="B19" s="70" t="s">
        <v>216</v>
      </c>
      <c r="C19" s="66" t="s">
        <v>220</v>
      </c>
      <c r="D19" s="60">
        <v>2016</v>
      </c>
      <c r="E19" s="60">
        <v>1</v>
      </c>
      <c r="F19" s="67">
        <v>1</v>
      </c>
      <c r="G19" s="67">
        <f>+F19*E19</f>
        <v>1</v>
      </c>
    </row>
    <row r="20" spans="1:7" ht="27" customHeight="1">
      <c r="A20" s="60">
        <v>3</v>
      </c>
      <c r="B20" s="70" t="s">
        <v>221</v>
      </c>
      <c r="C20" s="66" t="s">
        <v>220</v>
      </c>
      <c r="D20" s="60">
        <v>2016</v>
      </c>
      <c r="E20" s="60">
        <v>1</v>
      </c>
      <c r="F20" s="67">
        <v>1</v>
      </c>
      <c r="G20" s="67">
        <f>+F20*E20</f>
        <v>1</v>
      </c>
    </row>
    <row r="21" spans="1:7" ht="27" customHeight="1">
      <c r="A21" s="60">
        <v>4</v>
      </c>
      <c r="B21" s="70" t="s">
        <v>222</v>
      </c>
      <c r="C21" s="66" t="s">
        <v>220</v>
      </c>
      <c r="D21" s="60">
        <v>2016</v>
      </c>
      <c r="E21" s="60">
        <v>1</v>
      </c>
      <c r="F21" s="67">
        <v>1</v>
      </c>
      <c r="G21" s="67">
        <f>+F21*E21</f>
        <v>1</v>
      </c>
    </row>
    <row r="22" spans="1:7" ht="27" customHeight="1">
      <c r="A22" s="68" t="s">
        <v>181</v>
      </c>
      <c r="B22" s="71" t="s">
        <v>223</v>
      </c>
      <c r="C22" s="61"/>
      <c r="D22" s="64"/>
      <c r="E22" s="64"/>
      <c r="F22" s="61"/>
      <c r="G22" s="69">
        <f>SUM(G23:G24)</f>
        <v>4</v>
      </c>
    </row>
    <row r="23" spans="1:7" ht="27" customHeight="1">
      <c r="A23" s="72">
        <v>1</v>
      </c>
      <c r="B23" s="70" t="s">
        <v>210</v>
      </c>
      <c r="C23" s="66" t="s">
        <v>224</v>
      </c>
      <c r="D23" s="60">
        <v>2016</v>
      </c>
      <c r="E23" s="60">
        <v>1</v>
      </c>
      <c r="F23" s="67">
        <v>2</v>
      </c>
      <c r="G23" s="67">
        <f>+F23*E23</f>
        <v>2</v>
      </c>
    </row>
    <row r="24" spans="1:7" ht="27" customHeight="1">
      <c r="A24" s="72">
        <v>2</v>
      </c>
      <c r="B24" s="70" t="s">
        <v>216</v>
      </c>
      <c r="C24" s="66" t="s">
        <v>224</v>
      </c>
      <c r="D24" s="60">
        <v>2016</v>
      </c>
      <c r="E24" s="60">
        <v>1</v>
      </c>
      <c r="F24" s="67">
        <v>2</v>
      </c>
      <c r="G24" s="67">
        <f>+F24*E24</f>
        <v>2</v>
      </c>
    </row>
    <row r="25" spans="1:7" ht="27" customHeight="1">
      <c r="A25" s="62" t="s">
        <v>225</v>
      </c>
      <c r="B25" s="73" t="s">
        <v>226</v>
      </c>
      <c r="C25" s="61"/>
      <c r="D25" s="61"/>
      <c r="E25" s="61"/>
      <c r="F25" s="61"/>
      <c r="G25" s="61"/>
    </row>
    <row r="26" spans="1:7" ht="27" customHeight="1">
      <c r="A26" s="74" t="s">
        <v>182</v>
      </c>
      <c r="B26" s="394" t="s">
        <v>227</v>
      </c>
      <c r="C26" s="394"/>
      <c r="D26" s="64"/>
      <c r="E26" s="64"/>
      <c r="F26" s="64"/>
      <c r="G26" s="75">
        <f>SUM(G27:G30)</f>
        <v>18</v>
      </c>
    </row>
    <row r="27" spans="1:7" s="61" customFormat="1" ht="28.5" customHeight="1">
      <c r="A27" s="60">
        <v>1</v>
      </c>
      <c r="B27" s="65" t="s">
        <v>216</v>
      </c>
      <c r="C27" s="66" t="s">
        <v>228</v>
      </c>
      <c r="D27" s="60">
        <v>2016</v>
      </c>
      <c r="E27" s="60">
        <v>1</v>
      </c>
      <c r="F27" s="67">
        <v>1</v>
      </c>
      <c r="G27" s="67">
        <f aca="true" t="shared" si="1" ref="G27:G34">+F27*E27</f>
        <v>1</v>
      </c>
    </row>
    <row r="28" spans="1:7" s="61" customFormat="1" ht="28.5" customHeight="1">
      <c r="A28" s="60"/>
      <c r="B28" s="65"/>
      <c r="C28" s="66" t="s">
        <v>229</v>
      </c>
      <c r="D28" s="60">
        <v>2016</v>
      </c>
      <c r="E28" s="60">
        <v>1</v>
      </c>
      <c r="F28" s="67">
        <v>8</v>
      </c>
      <c r="G28" s="67">
        <f t="shared" si="1"/>
        <v>8</v>
      </c>
    </row>
    <row r="29" spans="1:7" s="61" customFormat="1" ht="28.5" customHeight="1">
      <c r="A29" s="60">
        <v>2</v>
      </c>
      <c r="B29" s="65" t="s">
        <v>221</v>
      </c>
      <c r="C29" s="66" t="s">
        <v>228</v>
      </c>
      <c r="D29" s="60">
        <v>2016</v>
      </c>
      <c r="E29" s="60">
        <v>1</v>
      </c>
      <c r="F29" s="67">
        <v>1</v>
      </c>
      <c r="G29" s="67">
        <f t="shared" si="1"/>
        <v>1</v>
      </c>
    </row>
    <row r="30" spans="1:7" s="61" customFormat="1" ht="28.5" customHeight="1">
      <c r="A30" s="60"/>
      <c r="B30" s="65"/>
      <c r="C30" s="66" t="s">
        <v>229</v>
      </c>
      <c r="D30" s="60">
        <v>2016</v>
      </c>
      <c r="E30" s="60">
        <v>1</v>
      </c>
      <c r="F30" s="67">
        <v>8</v>
      </c>
      <c r="G30" s="67">
        <f t="shared" si="1"/>
        <v>8</v>
      </c>
    </row>
    <row r="31" spans="1:7" ht="27" customHeight="1">
      <c r="A31" s="74" t="s">
        <v>183</v>
      </c>
      <c r="B31" s="76" t="s">
        <v>230</v>
      </c>
      <c r="C31" s="61"/>
      <c r="D31" s="61"/>
      <c r="E31" s="61"/>
      <c r="F31" s="64"/>
      <c r="G31" s="75">
        <f>SUM(G32:G34)</f>
        <v>27</v>
      </c>
    </row>
    <row r="32" spans="1:7" ht="27" customHeight="1">
      <c r="A32" s="60">
        <v>1</v>
      </c>
      <c r="B32" s="65" t="s">
        <v>210</v>
      </c>
      <c r="C32" s="66" t="s">
        <v>228</v>
      </c>
      <c r="D32" s="60">
        <v>2016</v>
      </c>
      <c r="E32" s="60">
        <v>1</v>
      </c>
      <c r="F32" s="67">
        <v>1</v>
      </c>
      <c r="G32" s="67">
        <f t="shared" si="1"/>
        <v>1</v>
      </c>
    </row>
    <row r="33" spans="1:7" ht="27" customHeight="1">
      <c r="A33" s="60"/>
      <c r="B33" s="65"/>
      <c r="C33" s="66" t="s">
        <v>231</v>
      </c>
      <c r="D33" s="60">
        <v>2016</v>
      </c>
      <c r="E33" s="60">
        <v>1</v>
      </c>
      <c r="F33" s="67">
        <v>2</v>
      </c>
      <c r="G33" s="67">
        <f t="shared" si="1"/>
        <v>2</v>
      </c>
    </row>
    <row r="34" spans="1:7" ht="27" customHeight="1">
      <c r="A34" s="60"/>
      <c r="B34" s="65"/>
      <c r="C34" s="66" t="s">
        <v>232</v>
      </c>
      <c r="D34" s="60">
        <v>2016</v>
      </c>
      <c r="E34" s="60">
        <v>1</v>
      </c>
      <c r="F34" s="67">
        <v>24</v>
      </c>
      <c r="G34" s="67">
        <f t="shared" si="1"/>
        <v>24</v>
      </c>
    </row>
    <row r="35" spans="1:7" ht="27" customHeight="1">
      <c r="A35" s="60"/>
      <c r="B35" s="61"/>
      <c r="C35" s="61"/>
      <c r="D35" s="61"/>
      <c r="E35" s="61"/>
      <c r="F35" s="61"/>
      <c r="G35" s="61"/>
    </row>
    <row r="36" spans="1:7" ht="27" customHeight="1">
      <c r="A36" s="61"/>
      <c r="B36" s="61"/>
      <c r="C36" s="61"/>
      <c r="D36" s="61"/>
      <c r="E36" s="61"/>
      <c r="F36" s="61"/>
      <c r="G36" s="61"/>
    </row>
    <row r="37" spans="1:7" ht="27" customHeight="1">
      <c r="A37" s="77" t="s">
        <v>233</v>
      </c>
      <c r="B37" s="61"/>
      <c r="C37" s="61"/>
      <c r="D37" s="61"/>
      <c r="E37" s="61"/>
      <c r="F37" s="61"/>
      <c r="G37" s="61"/>
    </row>
    <row r="38" spans="1:7" ht="27" customHeight="1">
      <c r="A38" s="65"/>
      <c r="B38" s="61"/>
      <c r="C38" s="61"/>
      <c r="D38" s="61"/>
      <c r="E38" s="61"/>
      <c r="F38" s="61"/>
      <c r="G38" s="61"/>
    </row>
    <row r="39" spans="1:7" ht="27" customHeight="1">
      <c r="A39" s="63" t="s">
        <v>0</v>
      </c>
      <c r="B39" s="63" t="s">
        <v>234</v>
      </c>
      <c r="C39" s="63" t="s">
        <v>2</v>
      </c>
      <c r="D39" s="63" t="s">
        <v>179</v>
      </c>
      <c r="E39" s="63" t="s">
        <v>235</v>
      </c>
      <c r="F39" s="63" t="s">
        <v>197</v>
      </c>
      <c r="G39" s="61"/>
    </row>
    <row r="40" spans="1:7" ht="27" customHeight="1">
      <c r="A40" s="73" t="s">
        <v>208</v>
      </c>
      <c r="B40" s="73" t="s">
        <v>209</v>
      </c>
      <c r="C40" s="60" t="s">
        <v>236</v>
      </c>
      <c r="D40" s="62">
        <f>G5</f>
        <v>10</v>
      </c>
      <c r="E40" s="78">
        <v>110000</v>
      </c>
      <c r="F40" s="79">
        <f>+E40*D40</f>
        <v>1100000</v>
      </c>
      <c r="G40" s="61"/>
    </row>
    <row r="41" spans="1:7" ht="27" customHeight="1">
      <c r="A41" s="73" t="s">
        <v>217</v>
      </c>
      <c r="B41" s="73" t="s">
        <v>218</v>
      </c>
      <c r="C41" s="60"/>
      <c r="D41" s="61"/>
      <c r="E41" s="78"/>
      <c r="F41" s="79">
        <f>SUM(F42:F43)</f>
        <v>640000</v>
      </c>
      <c r="G41" s="61"/>
    </row>
    <row r="42" spans="1:7" ht="27" customHeight="1">
      <c r="A42" s="62" t="s">
        <v>237</v>
      </c>
      <c r="B42" s="71" t="s">
        <v>238</v>
      </c>
      <c r="C42" s="60" t="s">
        <v>236</v>
      </c>
      <c r="D42" s="62">
        <f>G17</f>
        <v>4</v>
      </c>
      <c r="E42" s="78">
        <v>110000</v>
      </c>
      <c r="F42" s="78">
        <f aca="true" t="shared" si="2" ref="F42:F51">+E42*D42</f>
        <v>440000</v>
      </c>
      <c r="G42" s="61"/>
    </row>
    <row r="43" spans="1:7" ht="27" customHeight="1">
      <c r="A43" s="62" t="s">
        <v>237</v>
      </c>
      <c r="B43" s="71" t="s">
        <v>239</v>
      </c>
      <c r="C43" s="60" t="s">
        <v>236</v>
      </c>
      <c r="D43" s="62">
        <f>G22</f>
        <v>4</v>
      </c>
      <c r="E43" s="78">
        <v>50000</v>
      </c>
      <c r="F43" s="78">
        <f t="shared" si="2"/>
        <v>200000</v>
      </c>
      <c r="G43" s="61"/>
    </row>
    <row r="44" spans="1:7" ht="27" customHeight="1">
      <c r="A44" s="73" t="s">
        <v>225</v>
      </c>
      <c r="B44" s="73" t="s">
        <v>226</v>
      </c>
      <c r="C44" s="60"/>
      <c r="D44" s="61"/>
      <c r="E44" s="78"/>
      <c r="F44" s="79">
        <f>SUM(F45,F48)</f>
        <v>2430000</v>
      </c>
      <c r="G44" s="61"/>
    </row>
    <row r="45" spans="1:7" ht="27" customHeight="1">
      <c r="A45" s="73" t="s">
        <v>237</v>
      </c>
      <c r="B45" s="80" t="s">
        <v>227</v>
      </c>
      <c r="C45" s="60"/>
      <c r="D45" s="62">
        <f>G26</f>
        <v>18</v>
      </c>
      <c r="E45" s="78"/>
      <c r="F45" s="81">
        <f>SUM(F46:F47)</f>
        <v>1020000</v>
      </c>
      <c r="G45" s="61"/>
    </row>
    <row r="46" spans="1:7" ht="27" customHeight="1">
      <c r="A46" s="73" t="s">
        <v>240</v>
      </c>
      <c r="B46" s="71" t="s">
        <v>241</v>
      </c>
      <c r="C46" s="60" t="s">
        <v>236</v>
      </c>
      <c r="D46" s="60">
        <f>SUM(F27,F29)</f>
        <v>2</v>
      </c>
      <c r="E46" s="78">
        <v>110000</v>
      </c>
      <c r="F46" s="78">
        <f t="shared" si="2"/>
        <v>220000</v>
      </c>
      <c r="G46" s="61"/>
    </row>
    <row r="47" spans="1:7" ht="27" customHeight="1">
      <c r="A47" s="73" t="s">
        <v>240</v>
      </c>
      <c r="B47" s="71" t="s">
        <v>229</v>
      </c>
      <c r="C47" s="60" t="s">
        <v>236</v>
      </c>
      <c r="D47" s="60">
        <f>SUM(F28,F30)</f>
        <v>16</v>
      </c>
      <c r="E47" s="78">
        <v>50000</v>
      </c>
      <c r="F47" s="78">
        <f t="shared" si="2"/>
        <v>800000</v>
      </c>
      <c r="G47" s="61"/>
    </row>
    <row r="48" spans="1:7" ht="27" customHeight="1">
      <c r="A48" s="73" t="s">
        <v>237</v>
      </c>
      <c r="B48" s="80" t="s">
        <v>230</v>
      </c>
      <c r="C48" s="60"/>
      <c r="D48" s="62">
        <f>G31</f>
        <v>27</v>
      </c>
      <c r="E48" s="78"/>
      <c r="F48" s="81">
        <f>SUM(F49:F51)</f>
        <v>1410000</v>
      </c>
      <c r="G48" s="61"/>
    </row>
    <row r="49" spans="1:7" ht="27" customHeight="1">
      <c r="A49" s="73" t="s">
        <v>240</v>
      </c>
      <c r="B49" s="71" t="s">
        <v>241</v>
      </c>
      <c r="C49" s="60" t="s">
        <v>236</v>
      </c>
      <c r="D49" s="60">
        <f>G32</f>
        <v>1</v>
      </c>
      <c r="E49" s="78">
        <v>110000</v>
      </c>
      <c r="F49" s="78">
        <f t="shared" si="2"/>
        <v>110000</v>
      </c>
      <c r="G49" s="61"/>
    </row>
    <row r="50" spans="1:7" ht="27" customHeight="1">
      <c r="A50" s="73" t="s">
        <v>240</v>
      </c>
      <c r="B50" s="71" t="s">
        <v>242</v>
      </c>
      <c r="C50" s="60" t="s">
        <v>236</v>
      </c>
      <c r="D50" s="60">
        <f>G33</f>
        <v>2</v>
      </c>
      <c r="E50" s="78">
        <v>50000</v>
      </c>
      <c r="F50" s="78">
        <f t="shared" si="2"/>
        <v>100000</v>
      </c>
      <c r="G50" s="61"/>
    </row>
    <row r="51" spans="1:7" ht="27" customHeight="1">
      <c r="A51" s="73" t="s">
        <v>240</v>
      </c>
      <c r="B51" s="71" t="s">
        <v>243</v>
      </c>
      <c r="C51" s="60" t="s">
        <v>236</v>
      </c>
      <c r="D51" s="60">
        <f>G34</f>
        <v>24</v>
      </c>
      <c r="E51" s="78">
        <v>50000</v>
      </c>
      <c r="F51" s="78">
        <f t="shared" si="2"/>
        <v>1200000</v>
      </c>
      <c r="G51" s="61"/>
    </row>
    <row r="52" spans="1:7" ht="27" customHeight="1">
      <c r="A52" s="73"/>
      <c r="B52" s="73" t="s">
        <v>46</v>
      </c>
      <c r="C52" s="60"/>
      <c r="D52" s="61"/>
      <c r="E52" s="72"/>
      <c r="F52" s="79">
        <f>SUM(F40,F41,F44)</f>
        <v>4170000</v>
      </c>
      <c r="G52" s="61"/>
    </row>
    <row r="53" spans="1:7" ht="27" customHeight="1">
      <c r="A53" s="73"/>
      <c r="B53" s="73" t="s">
        <v>244</v>
      </c>
      <c r="C53" s="60"/>
      <c r="D53" s="60"/>
      <c r="E53" s="72"/>
      <c r="F53" s="79">
        <f>+F52*0.1</f>
        <v>417000</v>
      </c>
      <c r="G53" s="61"/>
    </row>
    <row r="54" spans="1:7" ht="27" customHeight="1">
      <c r="A54" s="65"/>
      <c r="B54" s="395" t="s">
        <v>245</v>
      </c>
      <c r="C54" s="395"/>
      <c r="D54" s="395"/>
      <c r="E54" s="72"/>
      <c r="F54" s="79">
        <f>SUM(F52:F53)</f>
        <v>4587000</v>
      </c>
      <c r="G54" s="61"/>
    </row>
  </sheetData>
  <sheetProtection/>
  <mergeCells count="2">
    <mergeCell ref="B26:C26"/>
    <mergeCell ref="B54:D5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47"/>
  <sheetViews>
    <sheetView zoomScale="85" zoomScaleNormal="85" zoomScalePageLayoutView="0" workbookViewId="0" topLeftCell="A1">
      <selection activeCell="A2" sqref="A2"/>
    </sheetView>
  </sheetViews>
  <sheetFormatPr defaultColWidth="9.140625" defaultRowHeight="28.5" customHeight="1"/>
  <cols>
    <col min="1" max="1" width="9.140625" style="61" customWidth="1"/>
    <col min="2" max="2" width="14.8515625" style="61" customWidth="1"/>
    <col min="3" max="3" width="21.7109375" style="61" bestFit="1" customWidth="1"/>
    <col min="4" max="5" width="14.8515625" style="61" customWidth="1"/>
    <col min="6" max="6" width="16.28125" style="61" bestFit="1" customWidth="1"/>
    <col min="7" max="7" width="9.140625" style="61" customWidth="1"/>
    <col min="8" max="8" width="33.140625" style="61" bestFit="1" customWidth="1"/>
    <col min="9" max="16384" width="9.140625" style="61" customWidth="1"/>
  </cols>
  <sheetData>
    <row r="1" ht="28.5" customHeight="1">
      <c r="A1" s="82" t="s">
        <v>246</v>
      </c>
    </row>
    <row r="2" ht="28.5" customHeight="1">
      <c r="A2" s="82" t="s">
        <v>247</v>
      </c>
    </row>
    <row r="3" ht="28.5" customHeight="1">
      <c r="A3" s="83" t="s">
        <v>248</v>
      </c>
    </row>
    <row r="4" spans="2:5" ht="28.5" customHeight="1">
      <c r="B4" s="62" t="s">
        <v>194</v>
      </c>
      <c r="C4" s="62" t="s">
        <v>204</v>
      </c>
      <c r="D4" s="63" t="s">
        <v>199</v>
      </c>
      <c r="E4" s="63" t="s">
        <v>205</v>
      </c>
    </row>
    <row r="5" spans="1:5" ht="28.5" customHeight="1">
      <c r="A5" s="62" t="s">
        <v>208</v>
      </c>
      <c r="B5" s="73" t="s">
        <v>249</v>
      </c>
      <c r="C5" s="73"/>
      <c r="D5" s="84"/>
      <c r="E5" s="62">
        <f>SUM(E6:E15)</f>
        <v>10</v>
      </c>
    </row>
    <row r="6" spans="1:5" ht="28.5" customHeight="1">
      <c r="A6" s="72">
        <v>1</v>
      </c>
      <c r="B6" s="65" t="s">
        <v>210</v>
      </c>
      <c r="C6" s="66" t="s">
        <v>211</v>
      </c>
      <c r="D6" s="60">
        <v>2016</v>
      </c>
      <c r="E6" s="60">
        <v>1</v>
      </c>
    </row>
    <row r="7" spans="1:5" ht="28.5" customHeight="1">
      <c r="A7" s="65"/>
      <c r="B7" s="65"/>
      <c r="C7" s="66" t="s">
        <v>212</v>
      </c>
      <c r="D7" s="60">
        <v>2016</v>
      </c>
      <c r="E7" s="60">
        <v>1</v>
      </c>
    </row>
    <row r="8" spans="1:5" ht="28.5" customHeight="1">
      <c r="A8" s="65"/>
      <c r="B8" s="65"/>
      <c r="C8" s="66" t="s">
        <v>213</v>
      </c>
      <c r="D8" s="60">
        <v>2016</v>
      </c>
      <c r="E8" s="60">
        <v>1</v>
      </c>
    </row>
    <row r="9" spans="1:5" ht="28.5" customHeight="1">
      <c r="A9" s="65"/>
      <c r="B9" s="65"/>
      <c r="C9" s="66" t="s">
        <v>214</v>
      </c>
      <c r="D9" s="60">
        <v>2016</v>
      </c>
      <c r="E9" s="60">
        <v>1</v>
      </c>
    </row>
    <row r="10" spans="1:5" ht="28.5" customHeight="1">
      <c r="A10" s="65"/>
      <c r="B10" s="65"/>
      <c r="C10" s="66" t="s">
        <v>215</v>
      </c>
      <c r="D10" s="60">
        <v>2016</v>
      </c>
      <c r="E10" s="60">
        <v>1</v>
      </c>
    </row>
    <row r="11" spans="1:5" ht="28.5" customHeight="1">
      <c r="A11" s="72">
        <v>2</v>
      </c>
      <c r="B11" s="65" t="s">
        <v>216</v>
      </c>
      <c r="C11" s="66" t="s">
        <v>211</v>
      </c>
      <c r="D11" s="60">
        <v>2016</v>
      </c>
      <c r="E11" s="60">
        <v>1</v>
      </c>
    </row>
    <row r="12" spans="1:5" ht="28.5" customHeight="1">
      <c r="A12" s="65"/>
      <c r="B12" s="65"/>
      <c r="C12" s="66" t="s">
        <v>212</v>
      </c>
      <c r="D12" s="60">
        <v>2016</v>
      </c>
      <c r="E12" s="60">
        <v>1</v>
      </c>
    </row>
    <row r="13" spans="1:5" ht="28.5" customHeight="1">
      <c r="A13" s="65"/>
      <c r="B13" s="65"/>
      <c r="C13" s="66" t="s">
        <v>213</v>
      </c>
      <c r="D13" s="60">
        <v>2016</v>
      </c>
      <c r="E13" s="60">
        <v>1</v>
      </c>
    </row>
    <row r="14" spans="1:5" ht="28.5" customHeight="1">
      <c r="A14" s="65"/>
      <c r="B14" s="65"/>
      <c r="C14" s="66" t="s">
        <v>214</v>
      </c>
      <c r="D14" s="60">
        <v>2016</v>
      </c>
      <c r="E14" s="60">
        <v>1</v>
      </c>
    </row>
    <row r="15" spans="1:5" ht="28.5" customHeight="1">
      <c r="A15" s="65"/>
      <c r="B15" s="65"/>
      <c r="C15" s="66" t="s">
        <v>215</v>
      </c>
      <c r="D15" s="60">
        <v>2016</v>
      </c>
      <c r="E15" s="60">
        <v>1</v>
      </c>
    </row>
    <row r="16" spans="1:5" ht="28.5" customHeight="1">
      <c r="A16" s="62" t="s">
        <v>217</v>
      </c>
      <c r="B16" s="73" t="s">
        <v>218</v>
      </c>
      <c r="C16" s="85"/>
      <c r="D16" s="62"/>
      <c r="E16" s="60"/>
    </row>
    <row r="17" spans="1:5" ht="28.5" customHeight="1" thickBot="1">
      <c r="A17" s="68" t="s">
        <v>181</v>
      </c>
      <c r="B17" s="71" t="s">
        <v>219</v>
      </c>
      <c r="C17" s="66"/>
      <c r="D17" s="74"/>
      <c r="E17" s="62">
        <f>SUM(E18:E21)</f>
        <v>4</v>
      </c>
    </row>
    <row r="18" spans="1:12" ht="28.5" customHeight="1" thickBot="1" thickTop="1">
      <c r="A18" s="60">
        <v>1</v>
      </c>
      <c r="B18" s="70" t="s">
        <v>210</v>
      </c>
      <c r="C18" s="66" t="s">
        <v>220</v>
      </c>
      <c r="D18" s="60">
        <v>2016</v>
      </c>
      <c r="E18" s="60">
        <v>1</v>
      </c>
      <c r="G18" s="86" t="s">
        <v>210</v>
      </c>
      <c r="H18" s="87" t="s">
        <v>250</v>
      </c>
      <c r="I18" s="87" t="s">
        <v>251</v>
      </c>
      <c r="J18" s="87" t="s">
        <v>252</v>
      </c>
      <c r="K18" s="87" t="s">
        <v>253</v>
      </c>
      <c r="L18" s="88" t="s">
        <v>254</v>
      </c>
    </row>
    <row r="19" spans="1:12" ht="28.5" customHeight="1" thickBot="1">
      <c r="A19" s="60">
        <v>2</v>
      </c>
      <c r="B19" s="70" t="s">
        <v>216</v>
      </c>
      <c r="C19" s="66" t="s">
        <v>220</v>
      </c>
      <c r="D19" s="60">
        <v>2016</v>
      </c>
      <c r="E19" s="60">
        <v>1</v>
      </c>
      <c r="G19" s="89" t="s">
        <v>216</v>
      </c>
      <c r="H19" s="90" t="s">
        <v>255</v>
      </c>
      <c r="I19" s="90" t="s">
        <v>221</v>
      </c>
      <c r="J19" s="90" t="s">
        <v>256</v>
      </c>
      <c r="K19" s="90" t="s">
        <v>257</v>
      </c>
      <c r="L19" s="91" t="s">
        <v>254</v>
      </c>
    </row>
    <row r="20" spans="1:12" ht="28.5" customHeight="1" thickBot="1">
      <c r="A20" s="60">
        <v>3</v>
      </c>
      <c r="B20" s="70" t="s">
        <v>221</v>
      </c>
      <c r="C20" s="66" t="s">
        <v>220</v>
      </c>
      <c r="D20" s="60">
        <v>2016</v>
      </c>
      <c r="E20" s="60">
        <v>1</v>
      </c>
      <c r="G20" s="89" t="s">
        <v>221</v>
      </c>
      <c r="H20" s="90" t="s">
        <v>258</v>
      </c>
      <c r="I20" s="90" t="s">
        <v>221</v>
      </c>
      <c r="J20" s="90" t="s">
        <v>259</v>
      </c>
      <c r="K20" s="90" t="s">
        <v>260</v>
      </c>
      <c r="L20" s="91" t="s">
        <v>261</v>
      </c>
    </row>
    <row r="21" spans="1:12" ht="28.5" customHeight="1" thickBot="1">
      <c r="A21" s="60">
        <v>4</v>
      </c>
      <c r="B21" s="70" t="s">
        <v>222</v>
      </c>
      <c r="C21" s="66" t="s">
        <v>220</v>
      </c>
      <c r="D21" s="60">
        <v>2016</v>
      </c>
      <c r="E21" s="60">
        <v>1</v>
      </c>
      <c r="G21" s="89" t="s">
        <v>262</v>
      </c>
      <c r="H21" s="90" t="s">
        <v>263</v>
      </c>
      <c r="I21" s="90" t="s">
        <v>221</v>
      </c>
      <c r="J21" s="90"/>
      <c r="K21" s="90"/>
      <c r="L21" s="91" t="s">
        <v>261</v>
      </c>
    </row>
    <row r="22" spans="1:5" ht="28.5" customHeight="1">
      <c r="A22" s="68" t="s">
        <v>181</v>
      </c>
      <c r="B22" s="71" t="s">
        <v>223</v>
      </c>
      <c r="C22" s="66"/>
      <c r="D22" s="74"/>
      <c r="E22" s="62">
        <f>SUM(E23:E24)</f>
        <v>2</v>
      </c>
    </row>
    <row r="23" spans="1:5" ht="28.5" customHeight="1">
      <c r="A23" s="72">
        <v>1</v>
      </c>
      <c r="B23" s="70" t="s">
        <v>210</v>
      </c>
      <c r="C23" s="66" t="s">
        <v>224</v>
      </c>
      <c r="D23" s="60">
        <v>2016</v>
      </c>
      <c r="E23" s="60">
        <v>1</v>
      </c>
    </row>
    <row r="24" spans="1:5" ht="28.5" customHeight="1">
      <c r="A24" s="72">
        <v>2</v>
      </c>
      <c r="B24" s="70" t="s">
        <v>216</v>
      </c>
      <c r="C24" s="66" t="s">
        <v>224</v>
      </c>
      <c r="D24" s="60">
        <v>2016</v>
      </c>
      <c r="E24" s="60">
        <v>1</v>
      </c>
    </row>
    <row r="25" spans="1:5" ht="28.5" customHeight="1">
      <c r="A25" s="73" t="s">
        <v>225</v>
      </c>
      <c r="B25" s="73" t="s">
        <v>226</v>
      </c>
      <c r="C25" s="85"/>
      <c r="D25" s="92"/>
      <c r="E25" s="93"/>
    </row>
    <row r="26" spans="1:5" ht="28.5" customHeight="1">
      <c r="A26" s="94" t="s">
        <v>182</v>
      </c>
      <c r="B26" s="66" t="s">
        <v>227</v>
      </c>
      <c r="C26" s="66"/>
      <c r="D26" s="95"/>
      <c r="E26" s="95">
        <f>SUM(E27:E30)</f>
        <v>4</v>
      </c>
    </row>
    <row r="27" spans="1:5" ht="28.5" customHeight="1">
      <c r="A27" s="60">
        <v>1</v>
      </c>
      <c r="B27" s="65" t="s">
        <v>216</v>
      </c>
      <c r="C27" s="66" t="s">
        <v>228</v>
      </c>
      <c r="D27" s="60">
        <v>2016</v>
      </c>
      <c r="E27" s="60">
        <v>1</v>
      </c>
    </row>
    <row r="28" spans="1:5" ht="28.5" customHeight="1">
      <c r="A28" s="60"/>
      <c r="B28" s="65"/>
      <c r="C28" s="66" t="s">
        <v>229</v>
      </c>
      <c r="D28" s="60">
        <v>2016</v>
      </c>
      <c r="E28" s="60">
        <v>1</v>
      </c>
    </row>
    <row r="29" spans="1:5" ht="28.5" customHeight="1">
      <c r="A29" s="60">
        <v>2</v>
      </c>
      <c r="B29" s="65" t="s">
        <v>221</v>
      </c>
      <c r="C29" s="66" t="s">
        <v>228</v>
      </c>
      <c r="D29" s="60">
        <v>2016</v>
      </c>
      <c r="E29" s="60">
        <v>1</v>
      </c>
    </row>
    <row r="30" spans="1:5" ht="28.5" customHeight="1">
      <c r="A30" s="60"/>
      <c r="B30" s="65"/>
      <c r="C30" s="66" t="s">
        <v>229</v>
      </c>
      <c r="D30" s="60">
        <v>2016</v>
      </c>
      <c r="E30" s="60">
        <v>1</v>
      </c>
    </row>
    <row r="31" spans="1:5" ht="28.5" customHeight="1">
      <c r="A31" s="94" t="s">
        <v>183</v>
      </c>
      <c r="B31" s="66" t="s">
        <v>230</v>
      </c>
      <c r="C31" s="66"/>
      <c r="D31" s="96"/>
      <c r="E31" s="95">
        <f>SUM(E32:E34)</f>
        <v>3</v>
      </c>
    </row>
    <row r="32" spans="1:5" ht="28.5" customHeight="1">
      <c r="A32" s="60">
        <v>1</v>
      </c>
      <c r="B32" s="65" t="s">
        <v>210</v>
      </c>
      <c r="C32" s="66" t="s">
        <v>228</v>
      </c>
      <c r="D32" s="60">
        <v>2016</v>
      </c>
      <c r="E32" s="60">
        <v>1</v>
      </c>
    </row>
    <row r="33" spans="1:5" ht="28.5" customHeight="1">
      <c r="A33" s="60"/>
      <c r="B33" s="65"/>
      <c r="C33" s="66" t="s">
        <v>231</v>
      </c>
      <c r="D33" s="60">
        <v>2016</v>
      </c>
      <c r="E33" s="60">
        <v>1</v>
      </c>
    </row>
    <row r="34" spans="1:5" ht="28.5" customHeight="1">
      <c r="A34" s="60"/>
      <c r="B34" s="65"/>
      <c r="C34" s="66" t="s">
        <v>232</v>
      </c>
      <c r="D34" s="60">
        <v>2016</v>
      </c>
      <c r="E34" s="60">
        <v>1</v>
      </c>
    </row>
    <row r="35" ht="28.5" customHeight="1">
      <c r="A35" s="97"/>
    </row>
    <row r="36" ht="28.5" customHeight="1">
      <c r="A36" s="60" t="s">
        <v>264</v>
      </c>
    </row>
    <row r="37" spans="1:6" ht="28.5" customHeight="1">
      <c r="A37" s="98" t="s">
        <v>0</v>
      </c>
      <c r="B37" s="98" t="s">
        <v>234</v>
      </c>
      <c r="C37" s="98" t="s">
        <v>2</v>
      </c>
      <c r="D37" s="98" t="s">
        <v>179</v>
      </c>
      <c r="E37" s="98" t="s">
        <v>235</v>
      </c>
      <c r="F37" s="98" t="s">
        <v>197</v>
      </c>
    </row>
    <row r="38" spans="1:6" ht="28.5" customHeight="1">
      <c r="A38" s="93" t="s">
        <v>208</v>
      </c>
      <c r="B38" s="80" t="s">
        <v>209</v>
      </c>
      <c r="C38" s="68" t="s">
        <v>199</v>
      </c>
      <c r="D38" s="68">
        <f>E5</f>
        <v>10</v>
      </c>
      <c r="E38" s="99">
        <v>200000</v>
      </c>
      <c r="F38" s="81">
        <f>+E38*D38</f>
        <v>2000000</v>
      </c>
    </row>
    <row r="39" spans="1:6" ht="28.5" customHeight="1">
      <c r="A39" s="93" t="s">
        <v>217</v>
      </c>
      <c r="B39" s="80" t="s">
        <v>218</v>
      </c>
      <c r="C39" s="68"/>
      <c r="E39" s="100"/>
      <c r="F39" s="81">
        <f>SUM(F40:F41)</f>
        <v>1200000</v>
      </c>
    </row>
    <row r="40" spans="1:6" ht="28.5" customHeight="1">
      <c r="A40" s="62" t="s">
        <v>237</v>
      </c>
      <c r="B40" s="71" t="s">
        <v>238</v>
      </c>
      <c r="C40" s="60" t="s">
        <v>199</v>
      </c>
      <c r="D40" s="60">
        <f>E17</f>
        <v>4</v>
      </c>
      <c r="E40" s="99">
        <v>200000</v>
      </c>
      <c r="F40" s="81">
        <f>+E40*D40</f>
        <v>800000</v>
      </c>
    </row>
    <row r="41" spans="1:6" ht="28.5" customHeight="1">
      <c r="A41" s="62" t="s">
        <v>237</v>
      </c>
      <c r="B41" s="71" t="s">
        <v>239</v>
      </c>
      <c r="C41" s="60" t="s">
        <v>199</v>
      </c>
      <c r="D41" s="60">
        <f>E22</f>
        <v>2</v>
      </c>
      <c r="E41" s="99">
        <v>200000</v>
      </c>
      <c r="F41" s="81">
        <f>+E41*D41</f>
        <v>400000</v>
      </c>
    </row>
    <row r="42" spans="1:7" ht="28.5" customHeight="1">
      <c r="A42" s="93" t="s">
        <v>225</v>
      </c>
      <c r="B42" s="80" t="s">
        <v>226</v>
      </c>
      <c r="C42" s="68"/>
      <c r="E42" s="99"/>
      <c r="F42" s="81">
        <f>SUM(F43:F44)</f>
        <v>2020000</v>
      </c>
      <c r="G42" s="99"/>
    </row>
    <row r="43" spans="1:7" ht="28.5" customHeight="1">
      <c r="A43" s="62" t="s">
        <v>237</v>
      </c>
      <c r="B43" s="71" t="s">
        <v>227</v>
      </c>
      <c r="C43" s="60" t="s">
        <v>199</v>
      </c>
      <c r="D43" s="60">
        <f>E26</f>
        <v>4</v>
      </c>
      <c r="E43" s="99">
        <v>280000</v>
      </c>
      <c r="F43" s="81">
        <f>+E43*D43</f>
        <v>1120000</v>
      </c>
      <c r="G43" s="99"/>
    </row>
    <row r="44" spans="1:7" ht="28.5" customHeight="1">
      <c r="A44" s="62" t="s">
        <v>237</v>
      </c>
      <c r="B44" s="71" t="s">
        <v>230</v>
      </c>
      <c r="C44" s="60" t="s">
        <v>199</v>
      </c>
      <c r="D44" s="60">
        <f>E31</f>
        <v>3</v>
      </c>
      <c r="E44" s="99">
        <v>300000</v>
      </c>
      <c r="F44" s="81">
        <f>+E44*D44</f>
        <v>900000</v>
      </c>
      <c r="G44" s="99"/>
    </row>
    <row r="45" spans="1:7" ht="28.5" customHeight="1">
      <c r="A45" s="65"/>
      <c r="B45" s="62" t="s">
        <v>46</v>
      </c>
      <c r="C45" s="65"/>
      <c r="E45" s="99"/>
      <c r="F45" s="81">
        <f>SUM(F38,F39,F42)</f>
        <v>5220000</v>
      </c>
      <c r="G45" s="99"/>
    </row>
    <row r="46" spans="5:7" ht="28.5" customHeight="1">
      <c r="E46" s="99"/>
      <c r="F46" s="99"/>
      <c r="G46" s="99"/>
    </row>
    <row r="47" spans="5:7" ht="28.5" customHeight="1">
      <c r="E47" s="99"/>
      <c r="F47" s="99"/>
      <c r="G47" s="9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3:J16"/>
  <sheetViews>
    <sheetView zoomScalePageLayoutView="0" workbookViewId="0" topLeftCell="A1">
      <selection activeCell="F3" sqref="F3:J3"/>
    </sheetView>
  </sheetViews>
  <sheetFormatPr defaultColWidth="9.140625" defaultRowHeight="15"/>
  <cols>
    <col min="1" max="1" width="66.57421875" style="0" customWidth="1"/>
  </cols>
  <sheetData>
    <row r="2" ht="15.75" thickBot="1"/>
    <row r="3" spans="1:10" ht="17.25" customHeight="1" thickBot="1">
      <c r="A3" s="398" t="s">
        <v>1</v>
      </c>
      <c r="B3" s="400">
        <v>2017</v>
      </c>
      <c r="C3" s="402"/>
      <c r="D3" s="402"/>
      <c r="E3" s="402"/>
      <c r="F3" s="154"/>
      <c r="G3" s="154"/>
      <c r="H3" s="154"/>
      <c r="I3" s="154"/>
      <c r="J3" s="153"/>
    </row>
    <row r="4" spans="1:10" ht="17.25" customHeight="1" thickBot="1">
      <c r="A4" s="399"/>
      <c r="B4" s="400" t="s">
        <v>270</v>
      </c>
      <c r="C4" s="401"/>
      <c r="D4" s="157" t="s">
        <v>271</v>
      </c>
      <c r="E4" s="158"/>
      <c r="F4" s="158"/>
      <c r="G4" s="158"/>
      <c r="H4" s="159"/>
      <c r="I4" s="400" t="s">
        <v>272</v>
      </c>
      <c r="J4" s="401"/>
    </row>
    <row r="5" spans="1:10" ht="18" thickBot="1">
      <c r="A5" s="145" t="s">
        <v>273</v>
      </c>
      <c r="B5" s="146"/>
      <c r="C5" s="146"/>
      <c r="D5" s="160"/>
      <c r="E5" s="161"/>
      <c r="F5" s="161"/>
      <c r="G5" s="161"/>
      <c r="H5" s="162"/>
      <c r="I5" s="148"/>
      <c r="J5" s="148"/>
    </row>
    <row r="6" spans="1:10" ht="18" thickBot="1">
      <c r="A6" s="149" t="s">
        <v>266</v>
      </c>
      <c r="B6" s="155"/>
      <c r="C6" s="155"/>
      <c r="D6" s="160"/>
      <c r="E6" s="161"/>
      <c r="F6" s="161"/>
      <c r="G6" s="161"/>
      <c r="H6" s="162"/>
      <c r="I6" s="156"/>
      <c r="J6" s="156"/>
    </row>
    <row r="7" spans="1:10" ht="17.25" thickBot="1">
      <c r="A7" s="150" t="s">
        <v>274</v>
      </c>
      <c r="B7" s="155"/>
      <c r="C7" s="155"/>
      <c r="D7" s="160"/>
      <c r="E7" s="161"/>
      <c r="F7" s="161"/>
      <c r="G7" s="161"/>
      <c r="H7" s="162"/>
      <c r="I7" s="156"/>
      <c r="J7" s="156"/>
    </row>
    <row r="8" spans="1:10" ht="17.25" thickBot="1">
      <c r="A8" s="150" t="s">
        <v>275</v>
      </c>
      <c r="B8" s="155"/>
      <c r="C8" s="155"/>
      <c r="D8" s="160"/>
      <c r="E8" s="161"/>
      <c r="F8" s="161"/>
      <c r="G8" s="161"/>
      <c r="H8" s="162"/>
      <c r="I8" s="156"/>
      <c r="J8" s="156"/>
    </row>
    <row r="9" spans="1:10" ht="17.25" thickBot="1">
      <c r="A9" s="150" t="s">
        <v>276</v>
      </c>
      <c r="B9" s="155"/>
      <c r="C9" s="155"/>
      <c r="D9" s="160"/>
      <c r="E9" s="161"/>
      <c r="F9" s="161"/>
      <c r="G9" s="161"/>
      <c r="H9" s="162"/>
      <c r="I9" s="156"/>
      <c r="J9" s="156"/>
    </row>
    <row r="10" spans="1:10" ht="18" thickBot="1">
      <c r="A10" s="149" t="s">
        <v>267</v>
      </c>
      <c r="B10" s="155"/>
      <c r="C10" s="155"/>
      <c r="D10" s="160"/>
      <c r="E10" s="161"/>
      <c r="F10" s="161"/>
      <c r="G10" s="161"/>
      <c r="H10" s="162"/>
      <c r="I10" s="156"/>
      <c r="J10" s="156"/>
    </row>
    <row r="11" spans="1:10" ht="17.25" thickBot="1">
      <c r="A11" s="150" t="s">
        <v>277</v>
      </c>
      <c r="B11" s="155"/>
      <c r="C11" s="155"/>
      <c r="D11" s="160"/>
      <c r="E11" s="161"/>
      <c r="F11" s="161"/>
      <c r="G11" s="161"/>
      <c r="H11" s="162"/>
      <c r="I11" s="156"/>
      <c r="J11" s="156"/>
    </row>
    <row r="12" spans="1:10" ht="33.75" thickBot="1">
      <c r="A12" s="150" t="s">
        <v>278</v>
      </c>
      <c r="B12" s="155"/>
      <c r="C12" s="155"/>
      <c r="D12" s="160"/>
      <c r="E12" s="161"/>
      <c r="F12" s="161"/>
      <c r="G12" s="161"/>
      <c r="H12" s="162"/>
      <c r="I12" s="156"/>
      <c r="J12" s="156"/>
    </row>
    <row r="13" spans="1:10" ht="17.25" thickBot="1">
      <c r="A13" s="151" t="s">
        <v>279</v>
      </c>
      <c r="B13" s="155"/>
      <c r="C13" s="155"/>
      <c r="D13" s="160"/>
      <c r="E13" s="161"/>
      <c r="F13" s="161"/>
      <c r="G13" s="161"/>
      <c r="H13" s="162"/>
      <c r="I13" s="156"/>
      <c r="J13" s="156"/>
    </row>
    <row r="14" spans="1:10" ht="18" thickBot="1">
      <c r="A14" s="149" t="s">
        <v>280</v>
      </c>
      <c r="B14" s="155"/>
      <c r="C14" s="155"/>
      <c r="D14" s="163"/>
      <c r="E14" s="147"/>
      <c r="F14" s="147"/>
      <c r="G14" s="147"/>
      <c r="H14" s="148"/>
      <c r="I14" s="156"/>
      <c r="J14" s="156"/>
    </row>
    <row r="15" spans="1:10" ht="17.25" thickBot="1">
      <c r="A15" s="152" t="s">
        <v>281</v>
      </c>
      <c r="B15" s="156"/>
      <c r="C15" s="396"/>
      <c r="D15" s="397"/>
      <c r="E15" s="156"/>
      <c r="F15" s="396"/>
      <c r="G15" s="397"/>
      <c r="H15" s="396"/>
      <c r="I15" s="397"/>
      <c r="J15" s="156"/>
    </row>
    <row r="16" spans="1:10" ht="17.25" thickBot="1">
      <c r="A16" s="152" t="s">
        <v>282</v>
      </c>
      <c r="B16" s="156"/>
      <c r="C16" s="396"/>
      <c r="D16" s="397"/>
      <c r="E16" s="156"/>
      <c r="F16" s="396"/>
      <c r="G16" s="397"/>
      <c r="H16" s="396"/>
      <c r="I16" s="397"/>
      <c r="J16" s="156"/>
    </row>
  </sheetData>
  <sheetProtection/>
  <mergeCells count="10">
    <mergeCell ref="C16:D16"/>
    <mergeCell ref="F16:G16"/>
    <mergeCell ref="H16:I16"/>
    <mergeCell ref="A3:A4"/>
    <mergeCell ref="B4:C4"/>
    <mergeCell ref="I4:J4"/>
    <mergeCell ref="B3:E3"/>
    <mergeCell ref="C15:D15"/>
    <mergeCell ref="F15:G15"/>
    <mergeCell ref="H15:I15"/>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1:J15"/>
  <sheetViews>
    <sheetView zoomScalePageLayoutView="0" workbookViewId="0" topLeftCell="A10">
      <selection activeCell="B14" sqref="B14"/>
    </sheetView>
  </sheetViews>
  <sheetFormatPr defaultColWidth="9.140625" defaultRowHeight="15"/>
  <cols>
    <col min="1" max="1" width="4.28125" style="167" customWidth="1"/>
    <col min="2" max="2" width="70.7109375" style="167" customWidth="1"/>
    <col min="3" max="10" width="3.28125" style="167" customWidth="1"/>
    <col min="11" max="16384" width="9.140625" style="167" customWidth="1"/>
  </cols>
  <sheetData>
    <row r="1" spans="1:10" ht="21.75" customHeight="1">
      <c r="A1" s="403" t="s">
        <v>306</v>
      </c>
      <c r="B1" s="403"/>
      <c r="C1" s="403"/>
      <c r="D1" s="403"/>
      <c r="E1" s="403"/>
      <c r="F1" s="403"/>
      <c r="G1" s="403"/>
      <c r="H1" s="403"/>
      <c r="I1" s="403"/>
      <c r="J1" s="403"/>
    </row>
    <row r="2" spans="1:10" ht="21.75" customHeight="1">
      <c r="A2" s="404" t="s">
        <v>0</v>
      </c>
      <c r="B2" s="404" t="s">
        <v>44</v>
      </c>
      <c r="C2" s="406" t="s">
        <v>307</v>
      </c>
      <c r="D2" s="406"/>
      <c r="E2" s="406"/>
      <c r="F2" s="406"/>
      <c r="G2" s="406" t="s">
        <v>308</v>
      </c>
      <c r="H2" s="406"/>
      <c r="I2" s="406"/>
      <c r="J2" s="406"/>
    </row>
    <row r="3" spans="1:10" s="165" customFormat="1" ht="28.5">
      <c r="A3" s="405"/>
      <c r="B3" s="405"/>
      <c r="C3" s="12" t="s">
        <v>309</v>
      </c>
      <c r="D3" s="12" t="s">
        <v>310</v>
      </c>
      <c r="E3" s="12" t="s">
        <v>311</v>
      </c>
      <c r="F3" s="12" t="s">
        <v>312</v>
      </c>
      <c r="G3" s="173" t="s">
        <v>309</v>
      </c>
      <c r="H3" s="173" t="s">
        <v>310</v>
      </c>
      <c r="I3" s="173" t="s">
        <v>311</v>
      </c>
      <c r="J3" s="173" t="s">
        <v>312</v>
      </c>
    </row>
    <row r="4" spans="1:10" s="165" customFormat="1" ht="15">
      <c r="A4" s="2" t="e">
        <f>#REF!</f>
        <v>#REF!</v>
      </c>
      <c r="B4" s="5" t="e">
        <f>#REF!</f>
        <v>#REF!</v>
      </c>
      <c r="C4" s="174">
        <v>6</v>
      </c>
      <c r="D4" s="12"/>
      <c r="E4" s="12"/>
      <c r="F4" s="12"/>
      <c r="G4" s="173"/>
      <c r="H4" s="173"/>
      <c r="I4" s="173"/>
      <c r="J4" s="173"/>
    </row>
    <row r="5" spans="1:10" s="165" customFormat="1" ht="38.25" customHeight="1">
      <c r="A5" s="2" t="e">
        <f>#REF!</f>
        <v>#REF!</v>
      </c>
      <c r="B5" s="5" t="e">
        <f>#REF!</f>
        <v>#REF!</v>
      </c>
      <c r="C5" s="174">
        <v>6</v>
      </c>
      <c r="D5" s="12"/>
      <c r="E5" s="12"/>
      <c r="F5" s="12"/>
      <c r="G5" s="12"/>
      <c r="H5" s="171"/>
      <c r="I5" s="171"/>
      <c r="J5" s="171"/>
    </row>
    <row r="6" spans="1:10" s="165" customFormat="1" ht="35.25" customHeight="1">
      <c r="A6" s="2" t="e">
        <f>#REF!</f>
        <v>#REF!</v>
      </c>
      <c r="B6" s="5" t="e">
        <f>#REF!</f>
        <v>#REF!</v>
      </c>
      <c r="C6" s="174">
        <v>6</v>
      </c>
      <c r="D6" s="174">
        <v>6</v>
      </c>
      <c r="E6" s="13"/>
      <c r="F6" s="13"/>
      <c r="G6" s="175"/>
      <c r="H6" s="171"/>
      <c r="I6" s="171"/>
      <c r="J6" s="171"/>
    </row>
    <row r="7" spans="1:10" ht="34.5" customHeight="1">
      <c r="A7" s="2" t="e">
        <f>#REF!</f>
        <v>#REF!</v>
      </c>
      <c r="B7" s="5" t="e">
        <f>#REF!</f>
        <v>#REF!</v>
      </c>
      <c r="C7" s="174">
        <v>6</v>
      </c>
      <c r="D7" s="174">
        <v>6</v>
      </c>
      <c r="E7" s="13"/>
      <c r="F7" s="13"/>
      <c r="G7" s="175"/>
      <c r="H7" s="407"/>
      <c r="I7" s="172"/>
      <c r="J7" s="172"/>
    </row>
    <row r="8" spans="1:10" ht="34.5" customHeight="1">
      <c r="A8" s="2" t="e">
        <f>#REF!</f>
        <v>#REF!</v>
      </c>
      <c r="B8" s="5" t="e">
        <f>#REF!</f>
        <v>#REF!</v>
      </c>
      <c r="C8" s="13"/>
      <c r="D8" s="174">
        <v>6</v>
      </c>
      <c r="E8" s="174">
        <v>6</v>
      </c>
      <c r="F8" s="13"/>
      <c r="G8" s="175"/>
      <c r="H8" s="407"/>
      <c r="I8" s="172"/>
      <c r="J8" s="172"/>
    </row>
    <row r="9" spans="1:10" ht="36" customHeight="1">
      <c r="A9" s="2" t="e">
        <f>#REF!</f>
        <v>#REF!</v>
      </c>
      <c r="B9" s="5" t="e">
        <f>#REF!</f>
        <v>#REF!</v>
      </c>
      <c r="C9" s="13"/>
      <c r="D9" s="174">
        <v>6</v>
      </c>
      <c r="E9" s="174">
        <v>6</v>
      </c>
      <c r="F9" s="13"/>
      <c r="G9" s="175"/>
      <c r="H9" s="407"/>
      <c r="I9" s="172"/>
      <c r="J9" s="172"/>
    </row>
    <row r="10" spans="1:10" ht="54" customHeight="1">
      <c r="A10" s="2" t="e">
        <f>#REF!</f>
        <v>#REF!</v>
      </c>
      <c r="B10" s="5" t="e">
        <f>#REF!</f>
        <v>#REF!</v>
      </c>
      <c r="C10" s="13"/>
      <c r="D10" s="164"/>
      <c r="E10" s="176">
        <v>6</v>
      </c>
      <c r="F10" s="176">
        <v>6</v>
      </c>
      <c r="G10" s="172"/>
      <c r="H10" s="407"/>
      <c r="I10" s="172"/>
      <c r="J10" s="172"/>
    </row>
    <row r="11" spans="1:10" ht="62.25" customHeight="1">
      <c r="A11" s="2" t="e">
        <f>#REF!</f>
        <v>#REF!</v>
      </c>
      <c r="B11" s="5" t="e">
        <f>#REF!</f>
        <v>#REF!</v>
      </c>
      <c r="C11" s="177"/>
      <c r="D11" s="164"/>
      <c r="E11" s="176">
        <v>6</v>
      </c>
      <c r="F11" s="176">
        <v>6</v>
      </c>
      <c r="G11" s="172"/>
      <c r="H11" s="172"/>
      <c r="I11" s="172"/>
      <c r="J11" s="172"/>
    </row>
    <row r="12" spans="1:10" ht="24" customHeight="1">
      <c r="A12" s="2">
        <v>11</v>
      </c>
      <c r="B12" s="5" t="s">
        <v>313</v>
      </c>
      <c r="C12" s="5"/>
      <c r="D12" s="5"/>
      <c r="E12" s="5"/>
      <c r="F12" s="178">
        <v>4</v>
      </c>
      <c r="G12" s="178">
        <v>4</v>
      </c>
      <c r="H12" s="178">
        <v>4</v>
      </c>
      <c r="I12" s="178">
        <v>4</v>
      </c>
      <c r="J12" s="5"/>
    </row>
    <row r="13" spans="1:10" ht="21.75" customHeight="1">
      <c r="A13" s="2">
        <v>12</v>
      </c>
      <c r="B13" s="5" t="s">
        <v>320</v>
      </c>
      <c r="C13" s="5"/>
      <c r="D13" s="5"/>
      <c r="E13" s="5"/>
      <c r="F13" s="5"/>
      <c r="G13" s="179">
        <v>7</v>
      </c>
      <c r="H13" s="179">
        <v>7</v>
      </c>
      <c r="I13" s="179">
        <v>7</v>
      </c>
      <c r="J13" s="5"/>
    </row>
    <row r="14" spans="1:10" ht="18" customHeight="1">
      <c r="A14" s="2">
        <v>13</v>
      </c>
      <c r="B14" s="5" t="s">
        <v>314</v>
      </c>
      <c r="C14" s="5"/>
      <c r="D14" s="5"/>
      <c r="E14" s="5"/>
      <c r="F14" s="5"/>
      <c r="G14" s="5"/>
      <c r="H14" s="5"/>
      <c r="I14" s="5"/>
      <c r="J14" s="180">
        <v>7</v>
      </c>
    </row>
    <row r="15" spans="1:10" ht="18" customHeight="1">
      <c r="A15" s="2">
        <v>14</v>
      </c>
      <c r="B15" s="5" t="s">
        <v>315</v>
      </c>
      <c r="C15" s="172">
        <f>SUM(C4:C14)</f>
        <v>24</v>
      </c>
      <c r="D15" s="172">
        <f aca="true" t="shared" si="0" ref="D15:J15">SUM(D4:D14)</f>
        <v>24</v>
      </c>
      <c r="E15" s="172">
        <f t="shared" si="0"/>
        <v>24</v>
      </c>
      <c r="F15" s="172">
        <f t="shared" si="0"/>
        <v>16</v>
      </c>
      <c r="G15" s="172">
        <f t="shared" si="0"/>
        <v>11</v>
      </c>
      <c r="H15" s="172">
        <f t="shared" si="0"/>
        <v>11</v>
      </c>
      <c r="I15" s="172">
        <f t="shared" si="0"/>
        <v>11</v>
      </c>
      <c r="J15" s="172">
        <f t="shared" si="0"/>
        <v>7</v>
      </c>
    </row>
  </sheetData>
  <sheetProtection/>
  <mergeCells count="6">
    <mergeCell ref="A1:J1"/>
    <mergeCell ref="A2:A3"/>
    <mergeCell ref="B2:B3"/>
    <mergeCell ref="C2:F2"/>
    <mergeCell ref="G2:J2"/>
    <mergeCell ref="H7:H1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I7"/>
  <sheetViews>
    <sheetView zoomScale="60" zoomScaleNormal="60" zoomScalePageLayoutView="0" workbookViewId="0" topLeftCell="A1">
      <selection activeCell="F7" sqref="F7"/>
    </sheetView>
  </sheetViews>
  <sheetFormatPr defaultColWidth="9.140625" defaultRowHeight="15"/>
  <cols>
    <col min="1" max="1" width="5.421875" style="0" customWidth="1"/>
    <col min="2" max="2" width="50.140625" style="0" customWidth="1"/>
    <col min="3" max="3" width="8.140625" style="0" customWidth="1"/>
    <col min="4" max="4" width="7.28125" style="0" customWidth="1"/>
    <col min="5" max="5" width="14.140625" style="0" customWidth="1"/>
    <col min="6" max="6" width="14.28125" style="0" customWidth="1"/>
    <col min="7" max="7" width="14.8515625" style="0" customWidth="1"/>
    <col min="8" max="8" width="12.8515625" style="0" customWidth="1"/>
    <col min="9" max="9" width="11.7109375" style="0" customWidth="1"/>
  </cols>
  <sheetData>
    <row r="1" spans="1:9" ht="63.75" customHeight="1">
      <c r="A1" s="408" t="s">
        <v>296</v>
      </c>
      <c r="B1" s="408"/>
      <c r="C1" s="408"/>
      <c r="D1" s="408"/>
      <c r="E1" s="408"/>
      <c r="F1" s="408"/>
      <c r="G1" s="408"/>
      <c r="H1" s="408"/>
      <c r="I1" s="408"/>
    </row>
    <row r="2" spans="1:9" ht="30">
      <c r="A2" s="168" t="s">
        <v>50</v>
      </c>
      <c r="B2" s="169" t="s">
        <v>290</v>
      </c>
      <c r="C2" s="169" t="s">
        <v>2</v>
      </c>
      <c r="D2" s="169" t="s">
        <v>291</v>
      </c>
      <c r="E2" s="169" t="s">
        <v>292</v>
      </c>
      <c r="F2" s="169" t="s">
        <v>293</v>
      </c>
      <c r="G2" s="170" t="s">
        <v>294</v>
      </c>
      <c r="H2" s="170" t="s">
        <v>295</v>
      </c>
      <c r="I2" s="170" t="s">
        <v>265</v>
      </c>
    </row>
    <row r="3" spans="1:9" ht="68.25" customHeight="1">
      <c r="A3" s="101">
        <v>1</v>
      </c>
      <c r="B3" s="5" t="s">
        <v>289</v>
      </c>
      <c r="C3" s="2" t="s">
        <v>20</v>
      </c>
      <c r="D3" s="3" t="e">
        <f>#REF!</f>
        <v>#REF!</v>
      </c>
      <c r="E3" s="171" t="s">
        <v>303</v>
      </c>
      <c r="F3" s="172" t="s">
        <v>299</v>
      </c>
      <c r="G3" s="172" t="s">
        <v>299</v>
      </c>
      <c r="H3" s="168"/>
      <c r="I3" s="168"/>
    </row>
    <row r="4" spans="1:9" ht="66.75" customHeight="1">
      <c r="A4" s="101">
        <v>2</v>
      </c>
      <c r="B4" s="5" t="s">
        <v>288</v>
      </c>
      <c r="C4" s="2" t="s">
        <v>20</v>
      </c>
      <c r="D4" s="3" t="e">
        <f>#REF!</f>
        <v>#REF!</v>
      </c>
      <c r="E4" s="171" t="s">
        <v>304</v>
      </c>
      <c r="F4" s="172" t="s">
        <v>300</v>
      </c>
      <c r="G4" s="172" t="s">
        <v>299</v>
      </c>
      <c r="H4" s="168"/>
      <c r="I4" s="168"/>
    </row>
    <row r="5" spans="1:9" ht="108" customHeight="1">
      <c r="A5" s="101">
        <v>3</v>
      </c>
      <c r="B5" s="5" t="s">
        <v>286</v>
      </c>
      <c r="C5" s="2" t="s">
        <v>20</v>
      </c>
      <c r="D5" s="3" t="e">
        <f>#REF!</f>
        <v>#REF!</v>
      </c>
      <c r="E5" s="171" t="s">
        <v>301</v>
      </c>
      <c r="F5" s="172" t="s">
        <v>302</v>
      </c>
      <c r="G5" s="172" t="s">
        <v>299</v>
      </c>
      <c r="H5" s="168"/>
      <c r="I5" s="168"/>
    </row>
    <row r="6" spans="1:9" ht="66.75" customHeight="1">
      <c r="A6" s="101">
        <v>4</v>
      </c>
      <c r="B6" s="5" t="s">
        <v>287</v>
      </c>
      <c r="C6" s="2" t="s">
        <v>20</v>
      </c>
      <c r="D6" s="3" t="e">
        <f>#REF!</f>
        <v>#REF!</v>
      </c>
      <c r="E6" s="171" t="s">
        <v>304</v>
      </c>
      <c r="F6" s="172" t="s">
        <v>298</v>
      </c>
      <c r="G6" s="172" t="s">
        <v>299</v>
      </c>
      <c r="H6" s="168"/>
      <c r="I6" s="168"/>
    </row>
    <row r="7" spans="1:9" ht="48" customHeight="1">
      <c r="A7" s="101">
        <v>5</v>
      </c>
      <c r="B7" s="5" t="s">
        <v>297</v>
      </c>
      <c r="C7" s="2" t="s">
        <v>20</v>
      </c>
      <c r="D7" s="166" t="e">
        <f>#REF!</f>
        <v>#REF!</v>
      </c>
      <c r="E7" s="171" t="s">
        <v>305</v>
      </c>
      <c r="F7" s="172" t="s">
        <v>299</v>
      </c>
      <c r="G7" s="172" t="s">
        <v>299</v>
      </c>
      <c r="H7" s="168"/>
      <c r="I7" s="168"/>
    </row>
  </sheetData>
  <sheetProtection/>
  <mergeCells count="1">
    <mergeCell ref="A1:I1"/>
  </mergeCells>
  <printOptions horizontalCentered="1"/>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K15"/>
  <sheetViews>
    <sheetView zoomScale="70" zoomScaleNormal="70" zoomScalePageLayoutView="0" workbookViewId="0" topLeftCell="A1">
      <pane xSplit="4" ySplit="5" topLeftCell="E6" activePane="bottomRight" state="frozen"/>
      <selection pane="topLeft" activeCell="S43" sqref="S43"/>
      <selection pane="topRight" activeCell="S43" sqref="S43"/>
      <selection pane="bottomLeft" activeCell="S43" sqref="S43"/>
      <selection pane="bottomRight" activeCell="O14" sqref="O14"/>
    </sheetView>
  </sheetViews>
  <sheetFormatPr defaultColWidth="8.8515625" defaultRowHeight="15" customHeight="1"/>
  <cols>
    <col min="1" max="1" width="5.7109375" style="14" customWidth="1"/>
    <col min="2" max="3" width="12.28125" style="14" hidden="1" customWidth="1"/>
    <col min="4" max="4" width="12.140625" style="14" customWidth="1"/>
    <col min="5" max="5" width="35.00390625" style="14" customWidth="1"/>
    <col min="6" max="6" width="8.28125" style="14" customWidth="1"/>
    <col min="7" max="7" width="7.00390625" style="14" hidden="1" customWidth="1"/>
    <col min="8" max="10" width="8.8515625" style="14" hidden="1" customWidth="1"/>
    <col min="11" max="11" width="6.28125" style="14" hidden="1" customWidth="1"/>
    <col min="12" max="13" width="8.8515625" style="14" hidden="1" customWidth="1"/>
    <col min="14" max="14" width="8.28125" style="14" hidden="1" customWidth="1"/>
    <col min="15" max="15" width="12.421875" style="14" customWidth="1"/>
    <col min="16" max="16" width="11.140625" style="14" customWidth="1"/>
    <col min="17" max="17" width="9.7109375" style="14" hidden="1" customWidth="1"/>
    <col min="18" max="19" width="11.140625" style="14" customWidth="1"/>
    <col min="20" max="20" width="14.140625" style="14" customWidth="1"/>
    <col min="21" max="21" width="11.140625" style="14" hidden="1" customWidth="1"/>
    <col min="22" max="23" width="14.140625" style="14" customWidth="1"/>
    <col min="24" max="26" width="7.00390625" style="14" customWidth="1"/>
    <col min="27" max="28" width="25.28125" style="15" customWidth="1"/>
    <col min="29" max="36" width="8.8515625" style="14" hidden="1" customWidth="1"/>
    <col min="37" max="37" width="22.28125" style="15" customWidth="1"/>
    <col min="38" max="16384" width="8.8515625" style="14" customWidth="1"/>
  </cols>
  <sheetData>
    <row r="1" spans="1:23" ht="24.75" customHeight="1">
      <c r="A1" s="343" t="s">
        <v>47</v>
      </c>
      <c r="B1" s="344"/>
      <c r="C1" s="344"/>
      <c r="D1" s="344"/>
      <c r="E1" s="344"/>
      <c r="F1" s="344"/>
      <c r="G1" s="344"/>
      <c r="H1" s="344"/>
      <c r="I1" s="344"/>
      <c r="J1" s="344"/>
      <c r="K1" s="344"/>
      <c r="L1" s="344"/>
      <c r="M1" s="344"/>
      <c r="N1" s="344"/>
      <c r="O1" s="344"/>
      <c r="P1" s="344"/>
      <c r="Q1" s="344"/>
      <c r="R1" s="344"/>
      <c r="S1" s="344"/>
      <c r="T1" s="344"/>
      <c r="U1" s="344"/>
      <c r="V1" s="344"/>
      <c r="W1" s="344"/>
    </row>
    <row r="2" spans="1:23" ht="30" customHeight="1">
      <c r="A2" s="345" t="s">
        <v>48</v>
      </c>
      <c r="B2" s="344"/>
      <c r="C2" s="344"/>
      <c r="D2" s="344"/>
      <c r="E2" s="344"/>
      <c r="F2" s="344"/>
      <c r="G2" s="344"/>
      <c r="H2" s="344"/>
      <c r="I2" s="344"/>
      <c r="J2" s="344"/>
      <c r="K2" s="344"/>
      <c r="L2" s="344"/>
      <c r="M2" s="344"/>
      <c r="N2" s="344"/>
      <c r="O2" s="344"/>
      <c r="P2" s="344"/>
      <c r="Q2" s="344"/>
      <c r="R2" s="344"/>
      <c r="S2" s="344"/>
      <c r="T2" s="344"/>
      <c r="U2" s="344"/>
      <c r="V2" s="344"/>
      <c r="W2" s="344"/>
    </row>
    <row r="3" spans="1:23" ht="26.25" customHeight="1">
      <c r="A3" s="346" t="s">
        <v>49</v>
      </c>
      <c r="B3" s="344"/>
      <c r="C3" s="344"/>
      <c r="D3" s="344"/>
      <c r="E3" s="344"/>
      <c r="F3" s="344"/>
      <c r="G3" s="344"/>
      <c r="H3" s="344"/>
      <c r="I3" s="344"/>
      <c r="J3" s="344"/>
      <c r="K3" s="344"/>
      <c r="L3" s="344"/>
      <c r="M3" s="344"/>
      <c r="N3" s="344"/>
      <c r="O3" s="344"/>
      <c r="P3" s="344"/>
      <c r="Q3" s="344"/>
      <c r="R3" s="344"/>
      <c r="S3" s="344"/>
      <c r="T3" s="344"/>
      <c r="U3" s="344"/>
      <c r="V3" s="344"/>
      <c r="W3" s="344"/>
    </row>
    <row r="4" spans="1:37" s="34" customFormat="1" ht="15" customHeight="1">
      <c r="A4" s="347" t="s">
        <v>50</v>
      </c>
      <c r="B4" s="347" t="s">
        <v>51</v>
      </c>
      <c r="C4" s="347"/>
      <c r="D4" s="347"/>
      <c r="E4" s="347" t="s">
        <v>52</v>
      </c>
      <c r="F4" s="347" t="s">
        <v>2</v>
      </c>
      <c r="G4" s="102" t="s">
        <v>53</v>
      </c>
      <c r="H4" s="347" t="s">
        <v>54</v>
      </c>
      <c r="I4" s="347"/>
      <c r="J4" s="347"/>
      <c r="K4" s="102" t="s">
        <v>39</v>
      </c>
      <c r="L4" s="102" t="s">
        <v>46</v>
      </c>
      <c r="M4" s="102" t="s">
        <v>55</v>
      </c>
      <c r="N4" s="102" t="s">
        <v>56</v>
      </c>
      <c r="O4" s="347" t="s">
        <v>3</v>
      </c>
      <c r="P4" s="347" t="s">
        <v>57</v>
      </c>
      <c r="Q4" s="347"/>
      <c r="R4" s="347"/>
      <c r="S4" s="347"/>
      <c r="T4" s="347" t="s">
        <v>58</v>
      </c>
      <c r="U4" s="347"/>
      <c r="V4" s="347"/>
      <c r="W4" s="347"/>
      <c r="X4" s="347" t="s">
        <v>59</v>
      </c>
      <c r="Y4" s="347"/>
      <c r="Z4" s="347"/>
      <c r="AA4" s="348" t="s">
        <v>60</v>
      </c>
      <c r="AB4" s="348"/>
      <c r="AC4" s="342" t="s">
        <v>61</v>
      </c>
      <c r="AD4" s="342"/>
      <c r="AE4" s="342"/>
      <c r="AF4" s="342" t="s">
        <v>62</v>
      </c>
      <c r="AG4" s="342"/>
      <c r="AH4" s="342"/>
      <c r="AI4" s="342" t="s">
        <v>63</v>
      </c>
      <c r="AJ4" s="342"/>
      <c r="AK4" s="33" t="s">
        <v>64</v>
      </c>
    </row>
    <row r="5" spans="1:37" s="34" customFormat="1" ht="15" customHeight="1">
      <c r="A5" s="347"/>
      <c r="B5" s="102" t="s">
        <v>65</v>
      </c>
      <c r="C5" s="102" t="s">
        <v>66</v>
      </c>
      <c r="D5" s="102" t="s">
        <v>57</v>
      </c>
      <c r="E5" s="347"/>
      <c r="F5" s="347"/>
      <c r="G5" s="102" t="s">
        <v>67</v>
      </c>
      <c r="H5" s="102" t="s">
        <v>68</v>
      </c>
      <c r="I5" s="102" t="s">
        <v>69</v>
      </c>
      <c r="J5" s="102" t="s">
        <v>70</v>
      </c>
      <c r="K5" s="102" t="s">
        <v>71</v>
      </c>
      <c r="L5" s="102" t="s">
        <v>68</v>
      </c>
      <c r="M5" s="102" t="s">
        <v>72</v>
      </c>
      <c r="N5" s="102" t="s">
        <v>73</v>
      </c>
      <c r="O5" s="347"/>
      <c r="P5" s="102" t="s">
        <v>74</v>
      </c>
      <c r="Q5" s="102" t="s">
        <v>75</v>
      </c>
      <c r="R5" s="102" t="s">
        <v>76</v>
      </c>
      <c r="S5" s="102" t="s">
        <v>77</v>
      </c>
      <c r="T5" s="102" t="s">
        <v>74</v>
      </c>
      <c r="U5" s="102" t="s">
        <v>75</v>
      </c>
      <c r="V5" s="102" t="s">
        <v>76</v>
      </c>
      <c r="W5" s="102" t="s">
        <v>78</v>
      </c>
      <c r="X5" s="102" t="s">
        <v>79</v>
      </c>
      <c r="Y5" s="102" t="s">
        <v>80</v>
      </c>
      <c r="Z5" s="102" t="s">
        <v>81</v>
      </c>
      <c r="AA5" s="33" t="s">
        <v>57</v>
      </c>
      <c r="AB5" s="33" t="s">
        <v>82</v>
      </c>
      <c r="AC5" s="36" t="s">
        <v>74</v>
      </c>
      <c r="AD5" s="36" t="s">
        <v>76</v>
      </c>
      <c r="AE5" s="36" t="s">
        <v>77</v>
      </c>
      <c r="AF5" s="36" t="s">
        <v>74</v>
      </c>
      <c r="AG5" s="36" t="s">
        <v>76</v>
      </c>
      <c r="AH5" s="36" t="s">
        <v>77</v>
      </c>
      <c r="AI5" s="36" t="s">
        <v>83</v>
      </c>
      <c r="AJ5" s="36" t="s">
        <v>84</v>
      </c>
      <c r="AK5" s="33"/>
    </row>
    <row r="6" spans="1:26" ht="18.75" customHeight="1">
      <c r="A6" s="131"/>
      <c r="B6" s="132"/>
      <c r="C6" s="132"/>
      <c r="D6" s="133" t="s">
        <v>85</v>
      </c>
      <c r="E6" s="133" t="s">
        <v>86</v>
      </c>
      <c r="F6" s="133"/>
      <c r="G6" s="134"/>
      <c r="H6" s="134"/>
      <c r="I6" s="134"/>
      <c r="J6" s="134"/>
      <c r="K6" s="134"/>
      <c r="L6" s="134"/>
      <c r="M6" s="134"/>
      <c r="N6" s="134">
        <v>4</v>
      </c>
      <c r="O6" s="135"/>
      <c r="P6" s="135"/>
      <c r="Q6" s="136"/>
      <c r="R6" s="135"/>
      <c r="S6" s="135"/>
      <c r="T6" s="135"/>
      <c r="U6" s="136"/>
      <c r="V6" s="135"/>
      <c r="W6" s="135"/>
      <c r="X6" s="135"/>
      <c r="Y6" s="135"/>
      <c r="Z6" s="135"/>
    </row>
    <row r="7" spans="1:37" ht="14.25">
      <c r="A7" s="131">
        <v>1</v>
      </c>
      <c r="B7" s="132" t="s">
        <v>87</v>
      </c>
      <c r="C7" s="132"/>
      <c r="D7" s="137" t="s">
        <v>87</v>
      </c>
      <c r="E7" s="138" t="s">
        <v>88</v>
      </c>
      <c r="F7" s="137" t="s">
        <v>89</v>
      </c>
      <c r="G7" s="134"/>
      <c r="H7" s="134"/>
      <c r="I7" s="134"/>
      <c r="J7" s="134"/>
      <c r="K7" s="134"/>
      <c r="L7" s="134"/>
      <c r="M7" s="134"/>
      <c r="N7" s="134"/>
      <c r="O7" s="134">
        <v>170</v>
      </c>
      <c r="P7" s="136">
        <v>4160</v>
      </c>
      <c r="Q7" s="136"/>
      <c r="R7" s="136">
        <v>877067</v>
      </c>
      <c r="S7" s="136">
        <v>3744</v>
      </c>
      <c r="T7" s="136">
        <f>ROUND(ROUND(O7,4)*P7,1)</f>
        <v>707200</v>
      </c>
      <c r="U7" s="136">
        <f>ROUND(ROUND(O7,4)*Q7,1)</f>
        <v>0</v>
      </c>
      <c r="V7" s="136">
        <f>ROUND(ROUND(O7,4)*R7,1)</f>
        <v>149101390</v>
      </c>
      <c r="W7" s="136">
        <f>ROUND(ROUND(O7,4)*S7,1)</f>
        <v>636480</v>
      </c>
      <c r="X7" s="139"/>
      <c r="Y7" s="139"/>
      <c r="Z7" s="139"/>
      <c r="AA7" s="15" t="s">
        <v>90</v>
      </c>
      <c r="AB7" s="15" t="s">
        <v>91</v>
      </c>
      <c r="AC7" s="14" t="s">
        <v>92</v>
      </c>
      <c r="AD7" s="14" t="s">
        <v>93</v>
      </c>
      <c r="AE7" s="14" t="s">
        <v>94</v>
      </c>
      <c r="AK7" s="15" t="s">
        <v>95</v>
      </c>
    </row>
    <row r="8" spans="1:37" ht="27" customHeight="1" hidden="1">
      <c r="A8" s="131">
        <v>2</v>
      </c>
      <c r="B8" s="132" t="s">
        <v>96</v>
      </c>
      <c r="C8" s="132"/>
      <c r="D8" s="137" t="s">
        <v>96</v>
      </c>
      <c r="E8" s="138" t="s">
        <v>97</v>
      </c>
      <c r="F8" s="137" t="s">
        <v>98</v>
      </c>
      <c r="G8" s="134"/>
      <c r="H8" s="134"/>
      <c r="I8" s="134"/>
      <c r="J8" s="134"/>
      <c r="K8" s="134"/>
      <c r="L8" s="134"/>
      <c r="M8" s="134"/>
      <c r="N8" s="134"/>
      <c r="O8" s="134">
        <v>0</v>
      </c>
      <c r="P8" s="136">
        <v>55240</v>
      </c>
      <c r="Q8" s="136"/>
      <c r="R8" s="136">
        <v>1150251</v>
      </c>
      <c r="S8" s="136">
        <v>15527</v>
      </c>
      <c r="T8" s="136">
        <f>ROUND(ROUND(O8,4)*P8,1)</f>
        <v>0</v>
      </c>
      <c r="U8" s="136">
        <f>ROUND(ROUND(O8,4)*Q8,1)</f>
        <v>0</v>
      </c>
      <c r="V8" s="136">
        <f>ROUND(ROUND(O8,4)*R8,1)</f>
        <v>0</v>
      </c>
      <c r="W8" s="136">
        <f>ROUND(ROUND(O8,4)*S8,1)</f>
        <v>0</v>
      </c>
      <c r="X8" s="139"/>
      <c r="Y8" s="139"/>
      <c r="Z8" s="139"/>
      <c r="AA8" s="15" t="s">
        <v>90</v>
      </c>
      <c r="AB8" s="15" t="s">
        <v>91</v>
      </c>
      <c r="AC8" s="14" t="s">
        <v>99</v>
      </c>
      <c r="AD8" s="14" t="s">
        <v>100</v>
      </c>
      <c r="AE8" s="14" t="s">
        <v>101</v>
      </c>
      <c r="AK8" s="15" t="s">
        <v>95</v>
      </c>
    </row>
    <row r="9" spans="1:37" ht="27" customHeight="1" hidden="1">
      <c r="A9" s="131">
        <v>3</v>
      </c>
      <c r="B9" s="132" t="s">
        <v>102</v>
      </c>
      <c r="C9" s="132"/>
      <c r="D9" s="137" t="s">
        <v>102</v>
      </c>
      <c r="E9" s="138" t="s">
        <v>103</v>
      </c>
      <c r="F9" s="137" t="s">
        <v>98</v>
      </c>
      <c r="G9" s="134"/>
      <c r="H9" s="134"/>
      <c r="I9" s="134"/>
      <c r="J9" s="134"/>
      <c r="K9" s="134"/>
      <c r="L9" s="134"/>
      <c r="M9" s="134"/>
      <c r="N9" s="134"/>
      <c r="O9" s="134">
        <v>0</v>
      </c>
      <c r="P9" s="136">
        <v>62247</v>
      </c>
      <c r="Q9" s="136"/>
      <c r="R9" s="136">
        <v>766149</v>
      </c>
      <c r="S9" s="136">
        <v>8907</v>
      </c>
      <c r="T9" s="136">
        <f>ROUND(ROUND(O9,4)*P9,1)</f>
        <v>0</v>
      </c>
      <c r="U9" s="136">
        <f>ROUND(ROUND(O9,4)*Q9,1)</f>
        <v>0</v>
      </c>
      <c r="V9" s="136">
        <f>ROUND(ROUND(O9,4)*R9,1)</f>
        <v>0</v>
      </c>
      <c r="W9" s="136">
        <f>ROUND(ROUND(O9,4)*S9,1)</f>
        <v>0</v>
      </c>
      <c r="X9" s="139"/>
      <c r="Y9" s="139"/>
      <c r="Z9" s="139"/>
      <c r="AA9" s="15" t="s">
        <v>90</v>
      </c>
      <c r="AB9" s="15" t="s">
        <v>91</v>
      </c>
      <c r="AC9" s="14" t="s">
        <v>104</v>
      </c>
      <c r="AD9" s="14" t="s">
        <v>105</v>
      </c>
      <c r="AE9" s="14" t="s">
        <v>106</v>
      </c>
      <c r="AK9" s="15" t="s">
        <v>95</v>
      </c>
    </row>
    <row r="10" spans="1:26" ht="16.5" customHeight="1" hidden="1">
      <c r="A10" s="131"/>
      <c r="B10" s="132"/>
      <c r="C10" s="132"/>
      <c r="D10" s="137"/>
      <c r="E10" s="138"/>
      <c r="F10" s="137"/>
      <c r="G10" s="134"/>
      <c r="H10" s="134"/>
      <c r="I10" s="134"/>
      <c r="J10" s="134"/>
      <c r="K10" s="134"/>
      <c r="L10" s="134"/>
      <c r="M10" s="134"/>
      <c r="N10" s="134"/>
      <c r="O10" s="134"/>
      <c r="P10" s="136"/>
      <c r="Q10" s="136"/>
      <c r="R10" s="136"/>
      <c r="S10" s="136"/>
      <c r="T10" s="136"/>
      <c r="U10" s="136"/>
      <c r="V10" s="136"/>
      <c r="W10" s="136"/>
      <c r="X10" s="139"/>
      <c r="Y10" s="139"/>
      <c r="Z10" s="139"/>
    </row>
    <row r="11" spans="1:26" ht="16.5" customHeight="1" hidden="1">
      <c r="A11" s="131"/>
      <c r="B11" s="132"/>
      <c r="C11" s="132"/>
      <c r="D11" s="137"/>
      <c r="E11" s="138"/>
      <c r="F11" s="137"/>
      <c r="G11" s="134"/>
      <c r="H11" s="134"/>
      <c r="I11" s="134"/>
      <c r="J11" s="134"/>
      <c r="K11" s="134"/>
      <c r="L11" s="134"/>
      <c r="M11" s="134"/>
      <c r="N11" s="134"/>
      <c r="O11" s="134"/>
      <c r="P11" s="136"/>
      <c r="Q11" s="136"/>
      <c r="R11" s="136"/>
      <c r="S11" s="136"/>
      <c r="T11" s="136"/>
      <c r="U11" s="136"/>
      <c r="V11" s="136"/>
      <c r="W11" s="136"/>
      <c r="X11" s="139"/>
      <c r="Y11" s="139"/>
      <c r="Z11" s="139"/>
    </row>
    <row r="12" spans="1:26" ht="16.5" customHeight="1" hidden="1">
      <c r="A12" s="131"/>
      <c r="B12" s="132"/>
      <c r="C12" s="132"/>
      <c r="D12" s="137"/>
      <c r="E12" s="138"/>
      <c r="F12" s="137"/>
      <c r="G12" s="134"/>
      <c r="H12" s="134"/>
      <c r="I12" s="134"/>
      <c r="J12" s="134"/>
      <c r="K12" s="134"/>
      <c r="L12" s="134"/>
      <c r="M12" s="134"/>
      <c r="N12" s="134"/>
      <c r="O12" s="134"/>
      <c r="P12" s="136"/>
      <c r="Q12" s="136"/>
      <c r="R12" s="136"/>
      <c r="S12" s="136"/>
      <c r="T12" s="136"/>
      <c r="U12" s="136"/>
      <c r="V12" s="136"/>
      <c r="W12" s="136"/>
      <c r="X12" s="139"/>
      <c r="Y12" s="139"/>
      <c r="Z12" s="139"/>
    </row>
    <row r="13" spans="1:26" ht="16.5" customHeight="1" hidden="1">
      <c r="A13" s="131"/>
      <c r="B13" s="132"/>
      <c r="C13" s="132"/>
      <c r="D13" s="137"/>
      <c r="E13" s="138"/>
      <c r="F13" s="137"/>
      <c r="G13" s="134"/>
      <c r="H13" s="134"/>
      <c r="I13" s="134"/>
      <c r="J13" s="134"/>
      <c r="K13" s="134"/>
      <c r="L13" s="134"/>
      <c r="M13" s="134"/>
      <c r="N13" s="134"/>
      <c r="O13" s="134"/>
      <c r="P13" s="136"/>
      <c r="Q13" s="136"/>
      <c r="R13" s="136"/>
      <c r="S13" s="136"/>
      <c r="T13" s="136"/>
      <c r="U13" s="136"/>
      <c r="V13" s="136"/>
      <c r="W13" s="136"/>
      <c r="X13" s="139"/>
      <c r="Y13" s="139"/>
      <c r="Z13" s="139"/>
    </row>
    <row r="14" spans="1:26" ht="16.5" customHeight="1">
      <c r="A14" s="131"/>
      <c r="B14" s="132"/>
      <c r="C14" s="132"/>
      <c r="D14" s="137"/>
      <c r="E14" s="138"/>
      <c r="F14" s="137"/>
      <c r="G14" s="134"/>
      <c r="H14" s="134"/>
      <c r="I14" s="134"/>
      <c r="J14" s="134"/>
      <c r="K14" s="134"/>
      <c r="L14" s="134"/>
      <c r="M14" s="134"/>
      <c r="N14" s="134"/>
      <c r="O14" s="134"/>
      <c r="P14" s="136"/>
      <c r="Q14" s="136"/>
      <c r="R14" s="136"/>
      <c r="S14" s="136"/>
      <c r="T14" s="136"/>
      <c r="U14" s="136"/>
      <c r="V14" s="136"/>
      <c r="W14" s="136"/>
      <c r="X14" s="139"/>
      <c r="Y14" s="139"/>
      <c r="Z14" s="139"/>
    </row>
    <row r="15" spans="1:26" ht="18.75" customHeight="1">
      <c r="A15" s="131"/>
      <c r="B15" s="132"/>
      <c r="C15" s="132"/>
      <c r="D15" s="133" t="s">
        <v>107</v>
      </c>
      <c r="E15" s="133" t="s">
        <v>108</v>
      </c>
      <c r="F15" s="133"/>
      <c r="G15" s="134"/>
      <c r="H15" s="134"/>
      <c r="I15" s="134"/>
      <c r="J15" s="134"/>
      <c r="K15" s="134"/>
      <c r="L15" s="134"/>
      <c r="M15" s="134"/>
      <c r="N15" s="134"/>
      <c r="O15" s="135"/>
      <c r="P15" s="135"/>
      <c r="Q15" s="136"/>
      <c r="R15" s="135"/>
      <c r="S15" s="135"/>
      <c r="T15" s="135">
        <f>ROUND(SUM(T7:T14),0)</f>
        <v>707200</v>
      </c>
      <c r="U15" s="136">
        <f>ROUND(SUM(U7:U14),0)</f>
        <v>0</v>
      </c>
      <c r="V15" s="135">
        <f>ROUND(SUM(V7:V14),0)</f>
        <v>149101390</v>
      </c>
      <c r="W15" s="135">
        <f>ROUND(SUM(W7:W14),0)</f>
        <v>636480</v>
      </c>
      <c r="X15" s="135"/>
      <c r="Y15" s="135"/>
      <c r="Z15" s="135"/>
    </row>
  </sheetData>
  <sheetProtection/>
  <mergeCells count="16">
    <mergeCell ref="P4:S4"/>
    <mergeCell ref="T4:W4"/>
    <mergeCell ref="X4:Z4"/>
    <mergeCell ref="AA4:AB4"/>
    <mergeCell ref="AC4:AE4"/>
    <mergeCell ref="AF4:AH4"/>
    <mergeCell ref="AI4:AJ4"/>
    <mergeCell ref="A1:W1"/>
    <mergeCell ref="A2:W2"/>
    <mergeCell ref="A3:W3"/>
    <mergeCell ref="A4:A5"/>
    <mergeCell ref="B4:D4"/>
    <mergeCell ref="E4:E5"/>
    <mergeCell ref="F4:F5"/>
    <mergeCell ref="H4:J4"/>
    <mergeCell ref="O4:O5"/>
  </mergeCells>
  <printOptions/>
  <pageMargins left="0.8229166666666666" right="0" top="0.041666666666666664" bottom="0.20833333333333334" header="0.5729166666666666" footer="0.20833333333333334"/>
  <pageSetup blackAndWhite="1" firstPageNumber="1" useFirstPageNumber="1" horizontalDpi="600" verticalDpi="600" orientation="landscape"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AW30"/>
  <sheetViews>
    <sheetView zoomScale="85" zoomScaleNormal="85" zoomScalePageLayoutView="0" workbookViewId="0" topLeftCell="A4">
      <selection activeCell="H8" sqref="H8"/>
    </sheetView>
  </sheetViews>
  <sheetFormatPr defaultColWidth="8.8515625" defaultRowHeight="15" customHeight="1"/>
  <cols>
    <col min="1" max="1" width="5.8515625" style="31" customWidth="1"/>
    <col min="2" max="2" width="63.7109375" style="31" customWidth="1"/>
    <col min="3" max="3" width="11.8515625" style="31" customWidth="1"/>
    <col min="4" max="4" width="32.57421875" style="31" customWidth="1"/>
    <col min="5" max="7" width="8.8515625" style="31" hidden="1" customWidth="1"/>
    <col min="8" max="8" width="22.28125" style="31" customWidth="1"/>
    <col min="9" max="13" width="8.8515625" style="31" customWidth="1"/>
    <col min="14" max="14" width="10.28125" style="31" bestFit="1" customWidth="1"/>
    <col min="15" max="33" width="8.8515625" style="31" customWidth="1"/>
    <col min="34" max="34" width="12.28125" style="31" bestFit="1" customWidth="1"/>
    <col min="35" max="16384" width="8.8515625" style="31" customWidth="1"/>
  </cols>
  <sheetData>
    <row r="1" spans="1:49" ht="26.25" customHeight="1">
      <c r="A1" s="343" t="s">
        <v>109</v>
      </c>
      <c r="B1" s="349"/>
      <c r="C1" s="349"/>
      <c r="D1" s="349"/>
      <c r="E1" s="349"/>
      <c r="F1" s="349"/>
      <c r="G1" s="349"/>
      <c r="H1" s="349"/>
      <c r="M1" s="343" t="s">
        <v>47</v>
      </c>
      <c r="N1" s="344"/>
      <c r="O1" s="344"/>
      <c r="P1" s="344"/>
      <c r="Q1" s="344"/>
      <c r="R1" s="344"/>
      <c r="S1" s="344"/>
      <c r="T1" s="344"/>
      <c r="U1" s="344"/>
      <c r="V1" s="344"/>
      <c r="W1" s="344"/>
      <c r="X1" s="344"/>
      <c r="Y1" s="344"/>
      <c r="Z1" s="344"/>
      <c r="AA1" s="344"/>
      <c r="AB1" s="344"/>
      <c r="AC1" s="344"/>
      <c r="AD1" s="344"/>
      <c r="AE1" s="344"/>
      <c r="AF1" s="344"/>
      <c r="AG1" s="344"/>
      <c r="AH1" s="344"/>
      <c r="AI1" s="344"/>
      <c r="AJ1" s="14"/>
      <c r="AK1" s="14"/>
      <c r="AL1" s="14"/>
      <c r="AM1" s="15"/>
      <c r="AN1" s="15"/>
      <c r="AO1" s="14"/>
      <c r="AP1" s="14"/>
      <c r="AQ1" s="14"/>
      <c r="AR1" s="14"/>
      <c r="AS1" s="14"/>
      <c r="AT1" s="14"/>
      <c r="AU1" s="14"/>
      <c r="AV1" s="14"/>
      <c r="AW1" s="15"/>
    </row>
    <row r="2" spans="1:49" ht="30" customHeight="1">
      <c r="A2" s="345" t="str">
        <f>'PL1-2'!A2</f>
        <v>CÔNG TRÌNH : </v>
      </c>
      <c r="B2" s="349"/>
      <c r="C2" s="349"/>
      <c r="D2" s="349"/>
      <c r="E2" s="349"/>
      <c r="F2" s="349"/>
      <c r="G2" s="349"/>
      <c r="H2" s="349"/>
      <c r="M2" s="345" t="s">
        <v>48</v>
      </c>
      <c r="N2" s="344"/>
      <c r="O2" s="344"/>
      <c r="P2" s="344"/>
      <c r="Q2" s="344"/>
      <c r="R2" s="344"/>
      <c r="S2" s="344"/>
      <c r="T2" s="344"/>
      <c r="U2" s="344"/>
      <c r="V2" s="344"/>
      <c r="W2" s="344"/>
      <c r="X2" s="344"/>
      <c r="Y2" s="344"/>
      <c r="Z2" s="344"/>
      <c r="AA2" s="344"/>
      <c r="AB2" s="344"/>
      <c r="AC2" s="344"/>
      <c r="AD2" s="344"/>
      <c r="AE2" s="344"/>
      <c r="AF2" s="344"/>
      <c r="AG2" s="344"/>
      <c r="AH2" s="344"/>
      <c r="AI2" s="344"/>
      <c r="AJ2" s="14"/>
      <c r="AK2" s="14"/>
      <c r="AL2" s="14"/>
      <c r="AM2" s="15"/>
      <c r="AN2" s="15"/>
      <c r="AO2" s="14"/>
      <c r="AP2" s="14"/>
      <c r="AQ2" s="14"/>
      <c r="AR2" s="14"/>
      <c r="AS2" s="14"/>
      <c r="AT2" s="14"/>
      <c r="AU2" s="14"/>
      <c r="AV2" s="14"/>
      <c r="AW2" s="15"/>
    </row>
    <row r="3" spans="1:49" ht="37.5" customHeight="1">
      <c r="A3" s="346" t="str">
        <f>'PL1-2'!E6</f>
        <v>HẠNG MỤC 1</v>
      </c>
      <c r="B3" s="349"/>
      <c r="C3" s="349"/>
      <c r="D3" s="349"/>
      <c r="E3" s="349"/>
      <c r="F3" s="349"/>
      <c r="G3" s="349"/>
      <c r="H3" s="349"/>
      <c r="M3" s="346" t="s">
        <v>49</v>
      </c>
      <c r="N3" s="344"/>
      <c r="O3" s="344"/>
      <c r="P3" s="344"/>
      <c r="Q3" s="344"/>
      <c r="R3" s="344"/>
      <c r="S3" s="344"/>
      <c r="T3" s="344"/>
      <c r="U3" s="344"/>
      <c r="V3" s="344"/>
      <c r="W3" s="344"/>
      <c r="X3" s="344"/>
      <c r="Y3" s="344"/>
      <c r="Z3" s="344"/>
      <c r="AA3" s="344"/>
      <c r="AB3" s="344"/>
      <c r="AC3" s="344"/>
      <c r="AD3" s="344"/>
      <c r="AE3" s="344"/>
      <c r="AF3" s="344"/>
      <c r="AG3" s="344"/>
      <c r="AH3" s="344"/>
      <c r="AI3" s="344"/>
      <c r="AJ3" s="14"/>
      <c r="AK3" s="14"/>
      <c r="AL3" s="14"/>
      <c r="AM3" s="15"/>
      <c r="AN3" s="15"/>
      <c r="AO3" s="14"/>
      <c r="AP3" s="14"/>
      <c r="AQ3" s="14"/>
      <c r="AR3" s="14"/>
      <c r="AS3" s="14"/>
      <c r="AT3" s="14"/>
      <c r="AU3" s="14"/>
      <c r="AV3" s="14"/>
      <c r="AW3" s="15"/>
    </row>
    <row r="4" spans="1:49" s="37" customFormat="1" ht="26.25" customHeight="1">
      <c r="A4" s="102" t="s">
        <v>50</v>
      </c>
      <c r="B4" s="102" t="s">
        <v>110</v>
      </c>
      <c r="C4" s="102" t="s">
        <v>111</v>
      </c>
      <c r="D4" s="102" t="s">
        <v>112</v>
      </c>
      <c r="E4" s="102"/>
      <c r="F4" s="102"/>
      <c r="G4" s="102" t="s">
        <v>39</v>
      </c>
      <c r="H4" s="102" t="s">
        <v>58</v>
      </c>
      <c r="M4" s="356" t="s">
        <v>50</v>
      </c>
      <c r="N4" s="358" t="s">
        <v>51</v>
      </c>
      <c r="O4" s="358"/>
      <c r="P4" s="359"/>
      <c r="Q4" s="360" t="s">
        <v>52</v>
      </c>
      <c r="R4" s="360" t="s">
        <v>2</v>
      </c>
      <c r="S4" s="32" t="s">
        <v>53</v>
      </c>
      <c r="T4" s="358" t="s">
        <v>54</v>
      </c>
      <c r="U4" s="358"/>
      <c r="V4" s="359"/>
      <c r="W4" s="32" t="s">
        <v>39</v>
      </c>
      <c r="X4" s="32" t="s">
        <v>46</v>
      </c>
      <c r="Y4" s="32" t="s">
        <v>55</v>
      </c>
      <c r="Z4" s="32" t="s">
        <v>56</v>
      </c>
      <c r="AA4" s="360" t="s">
        <v>3</v>
      </c>
      <c r="AB4" s="358" t="s">
        <v>57</v>
      </c>
      <c r="AC4" s="358"/>
      <c r="AD4" s="358"/>
      <c r="AE4" s="359"/>
      <c r="AF4" s="358" t="s">
        <v>58</v>
      </c>
      <c r="AG4" s="358"/>
      <c r="AH4" s="358"/>
      <c r="AI4" s="359"/>
      <c r="AJ4" s="358" t="s">
        <v>59</v>
      </c>
      <c r="AK4" s="358"/>
      <c r="AL4" s="359"/>
      <c r="AM4" s="348" t="s">
        <v>60</v>
      </c>
      <c r="AN4" s="348"/>
      <c r="AO4" s="342" t="s">
        <v>61</v>
      </c>
      <c r="AP4" s="342"/>
      <c r="AQ4" s="342"/>
      <c r="AR4" s="342" t="s">
        <v>62</v>
      </c>
      <c r="AS4" s="342"/>
      <c r="AT4" s="342"/>
      <c r="AU4" s="342" t="s">
        <v>63</v>
      </c>
      <c r="AV4" s="342"/>
      <c r="AW4" s="33" t="s">
        <v>64</v>
      </c>
    </row>
    <row r="5" spans="1:49" ht="16.5" customHeight="1">
      <c r="A5" s="108" t="s">
        <v>5</v>
      </c>
      <c r="B5" s="109" t="s">
        <v>113</v>
      </c>
      <c r="C5" s="103"/>
      <c r="D5" s="103"/>
      <c r="E5" s="110"/>
      <c r="F5" s="110"/>
      <c r="G5" s="108"/>
      <c r="H5" s="111"/>
      <c r="M5" s="357"/>
      <c r="N5" s="35" t="s">
        <v>65</v>
      </c>
      <c r="O5" s="35" t="s">
        <v>66</v>
      </c>
      <c r="P5" s="35" t="s">
        <v>57</v>
      </c>
      <c r="Q5" s="361"/>
      <c r="R5" s="361"/>
      <c r="S5" s="35" t="s">
        <v>67</v>
      </c>
      <c r="T5" s="35" t="s">
        <v>68</v>
      </c>
      <c r="U5" s="35" t="s">
        <v>69</v>
      </c>
      <c r="V5" s="35" t="s">
        <v>70</v>
      </c>
      <c r="W5" s="35" t="s">
        <v>71</v>
      </c>
      <c r="X5" s="35" t="s">
        <v>68</v>
      </c>
      <c r="Y5" s="35" t="s">
        <v>72</v>
      </c>
      <c r="Z5" s="35" t="s">
        <v>73</v>
      </c>
      <c r="AA5" s="361"/>
      <c r="AB5" s="35" t="s">
        <v>74</v>
      </c>
      <c r="AC5" s="35" t="s">
        <v>75</v>
      </c>
      <c r="AD5" s="35" t="s">
        <v>76</v>
      </c>
      <c r="AE5" s="35" t="s">
        <v>77</v>
      </c>
      <c r="AF5" s="35" t="s">
        <v>74</v>
      </c>
      <c r="AG5" s="35" t="s">
        <v>75</v>
      </c>
      <c r="AH5" s="35" t="s">
        <v>76</v>
      </c>
      <c r="AI5" s="35" t="s">
        <v>78</v>
      </c>
      <c r="AJ5" s="35" t="s">
        <v>79</v>
      </c>
      <c r="AK5" s="35" t="s">
        <v>80</v>
      </c>
      <c r="AL5" s="35" t="s">
        <v>81</v>
      </c>
      <c r="AM5" s="33" t="s">
        <v>57</v>
      </c>
      <c r="AN5" s="33" t="s">
        <v>82</v>
      </c>
      <c r="AO5" s="36" t="s">
        <v>74</v>
      </c>
      <c r="AP5" s="36" t="s">
        <v>76</v>
      </c>
      <c r="AQ5" s="36" t="s">
        <v>77</v>
      </c>
      <c r="AR5" s="36" t="s">
        <v>74</v>
      </c>
      <c r="AS5" s="36" t="s">
        <v>76</v>
      </c>
      <c r="AT5" s="36" t="s">
        <v>77</v>
      </c>
      <c r="AU5" s="36" t="s">
        <v>83</v>
      </c>
      <c r="AV5" s="36" t="s">
        <v>84</v>
      </c>
      <c r="AW5" s="33"/>
    </row>
    <row r="6" spans="1:49" ht="17.25" customHeight="1">
      <c r="A6" s="104" t="s">
        <v>114</v>
      </c>
      <c r="B6" s="105" t="s">
        <v>115</v>
      </c>
      <c r="C6" s="106" t="s">
        <v>116</v>
      </c>
      <c r="D6" s="103" t="str">
        <f>C9</f>
        <v>A</v>
      </c>
      <c r="E6" s="107"/>
      <c r="F6" s="107"/>
      <c r="G6" s="104"/>
      <c r="H6" s="140">
        <f>ROUND(H9,0)</f>
        <v>23693800</v>
      </c>
      <c r="M6" s="16"/>
      <c r="N6" s="17"/>
      <c r="O6" s="17"/>
      <c r="P6" s="18" t="s">
        <v>85</v>
      </c>
      <c r="Q6" s="18" t="s">
        <v>86</v>
      </c>
      <c r="R6" s="18"/>
      <c r="S6" s="19"/>
      <c r="T6" s="19"/>
      <c r="U6" s="19"/>
      <c r="V6" s="19"/>
      <c r="W6" s="19"/>
      <c r="X6" s="19"/>
      <c r="Y6" s="19"/>
      <c r="Z6" s="19">
        <v>4</v>
      </c>
      <c r="AA6" s="20"/>
      <c r="AB6" s="20"/>
      <c r="AC6" s="21"/>
      <c r="AD6" s="20"/>
      <c r="AE6" s="20"/>
      <c r="AF6" s="20"/>
      <c r="AG6" s="21"/>
      <c r="AH6" s="20"/>
      <c r="AI6" s="20"/>
      <c r="AJ6" s="20"/>
      <c r="AK6" s="20"/>
      <c r="AL6" s="20"/>
      <c r="AM6" s="15"/>
      <c r="AN6" s="15"/>
      <c r="AO6" s="14"/>
      <c r="AP6" s="14"/>
      <c r="AQ6" s="14"/>
      <c r="AR6" s="14"/>
      <c r="AS6" s="14"/>
      <c r="AT6" s="14"/>
      <c r="AU6" s="14"/>
      <c r="AV6" s="14"/>
      <c r="AW6" s="15"/>
    </row>
    <row r="7" spans="1:49" ht="17.25" customHeight="1">
      <c r="A7" s="108"/>
      <c r="B7" s="109" t="s">
        <v>117</v>
      </c>
      <c r="C7" s="103" t="s">
        <v>118</v>
      </c>
      <c r="D7" s="103" t="s">
        <v>119</v>
      </c>
      <c r="E7" s="110"/>
      <c r="F7" s="110"/>
      <c r="G7" s="108"/>
      <c r="H7" s="141">
        <f>ROUND('PL1-2'!T15+'PL1-2'!U15,0)</f>
        <v>707200</v>
      </c>
      <c r="M7" s="16">
        <v>1</v>
      </c>
      <c r="N7" s="17" t="s">
        <v>87</v>
      </c>
      <c r="O7" s="17"/>
      <c r="P7" s="22" t="s">
        <v>87</v>
      </c>
      <c r="Q7" s="23" t="s">
        <v>88</v>
      </c>
      <c r="R7" s="22" t="s">
        <v>89</v>
      </c>
      <c r="S7" s="19"/>
      <c r="T7" s="19"/>
      <c r="U7" s="19"/>
      <c r="V7" s="19"/>
      <c r="W7" s="19"/>
      <c r="X7" s="19"/>
      <c r="Y7" s="19"/>
      <c r="Z7" s="19"/>
      <c r="AA7" s="19">
        <v>140</v>
      </c>
      <c r="AB7" s="21">
        <v>4160</v>
      </c>
      <c r="AC7" s="21"/>
      <c r="AD7" s="21">
        <v>877067</v>
      </c>
      <c r="AE7" s="21">
        <v>3744</v>
      </c>
      <c r="AF7" s="21">
        <f>ROUND(ROUND(AA7,4)*AB7,1)</f>
        <v>582400</v>
      </c>
      <c r="AG7" s="21">
        <f>ROUND(ROUND(AA7,4)*AC7,1)</f>
        <v>0</v>
      </c>
      <c r="AH7" s="21">
        <f>ROUND(ROUND(AA7,4)*AD7,1)</f>
        <v>122789380</v>
      </c>
      <c r="AI7" s="21">
        <f>ROUND(ROUND(AA7,4)*AE7,1)</f>
        <v>524160</v>
      </c>
      <c r="AJ7" s="24"/>
      <c r="AK7" s="24"/>
      <c r="AL7" s="24"/>
      <c r="AM7" s="15" t="s">
        <v>90</v>
      </c>
      <c r="AN7" s="15" t="s">
        <v>91</v>
      </c>
      <c r="AO7" s="14" t="s">
        <v>92</v>
      </c>
      <c r="AP7" s="14" t="s">
        <v>93</v>
      </c>
      <c r="AQ7" s="14" t="s">
        <v>94</v>
      </c>
      <c r="AR7" s="14"/>
      <c r="AS7" s="14"/>
      <c r="AT7" s="14"/>
      <c r="AU7" s="14"/>
      <c r="AV7" s="14"/>
      <c r="AW7" s="15" t="s">
        <v>95</v>
      </c>
    </row>
    <row r="8" spans="1:49" ht="17.25" customHeight="1">
      <c r="A8" s="108"/>
      <c r="B8" s="109" t="s">
        <v>120</v>
      </c>
      <c r="C8" s="103" t="s">
        <v>121</v>
      </c>
      <c r="D8" s="103" t="s">
        <v>122</v>
      </c>
      <c r="E8" s="110"/>
      <c r="F8" s="110"/>
      <c r="G8" s="108"/>
      <c r="H8" s="141">
        <f>ROUND('[1]Tổng hợp VT'!R14,0)</f>
        <v>22986600</v>
      </c>
      <c r="M8" s="16">
        <v>2</v>
      </c>
      <c r="N8" s="17" t="s">
        <v>96</v>
      </c>
      <c r="O8" s="17"/>
      <c r="P8" s="22" t="s">
        <v>96</v>
      </c>
      <c r="Q8" s="23" t="s">
        <v>97</v>
      </c>
      <c r="R8" s="22" t="s">
        <v>98</v>
      </c>
      <c r="S8" s="19"/>
      <c r="T8" s="19"/>
      <c r="U8" s="19"/>
      <c r="V8" s="19"/>
      <c r="W8" s="19"/>
      <c r="X8" s="19"/>
      <c r="Y8" s="19"/>
      <c r="Z8" s="19"/>
      <c r="AA8" s="19">
        <v>0</v>
      </c>
      <c r="AB8" s="21">
        <v>55240</v>
      </c>
      <c r="AC8" s="21"/>
      <c r="AD8" s="21">
        <v>1150251</v>
      </c>
      <c r="AE8" s="21">
        <v>15527</v>
      </c>
      <c r="AF8" s="21">
        <f>ROUND(ROUND(AA8,4)*AB8,1)</f>
        <v>0</v>
      </c>
      <c r="AG8" s="21">
        <f>ROUND(ROUND(AA8,4)*AC8,1)</f>
        <v>0</v>
      </c>
      <c r="AH8" s="21">
        <f>ROUND(ROUND(AA8,4)*AD8,1)</f>
        <v>0</v>
      </c>
      <c r="AI8" s="21">
        <f>ROUND(ROUND(AA8,4)*AE8,1)</f>
        <v>0</v>
      </c>
      <c r="AJ8" s="24"/>
      <c r="AK8" s="24"/>
      <c r="AL8" s="24"/>
      <c r="AM8" s="15" t="s">
        <v>90</v>
      </c>
      <c r="AN8" s="15" t="s">
        <v>91</v>
      </c>
      <c r="AO8" s="14" t="s">
        <v>99</v>
      </c>
      <c r="AP8" s="14" t="s">
        <v>100</v>
      </c>
      <c r="AQ8" s="14" t="s">
        <v>101</v>
      </c>
      <c r="AR8" s="14"/>
      <c r="AS8" s="14"/>
      <c r="AT8" s="14"/>
      <c r="AU8" s="14"/>
      <c r="AV8" s="14"/>
      <c r="AW8" s="15" t="s">
        <v>95</v>
      </c>
    </row>
    <row r="9" spans="1:49" ht="17.25" customHeight="1">
      <c r="A9" s="108"/>
      <c r="B9" s="109" t="s">
        <v>123</v>
      </c>
      <c r="C9" s="103" t="s">
        <v>4</v>
      </c>
      <c r="D9" s="103" t="s">
        <v>124</v>
      </c>
      <c r="E9" s="110"/>
      <c r="F9" s="110"/>
      <c r="G9" s="108"/>
      <c r="H9" s="141">
        <f>H7+H8</f>
        <v>23693800</v>
      </c>
      <c r="M9" s="16">
        <v>3</v>
      </c>
      <c r="N9" s="17" t="s">
        <v>102</v>
      </c>
      <c r="O9" s="17"/>
      <c r="P9" s="22" t="s">
        <v>102</v>
      </c>
      <c r="Q9" s="23" t="s">
        <v>103</v>
      </c>
      <c r="R9" s="22" t="s">
        <v>98</v>
      </c>
      <c r="S9" s="19"/>
      <c r="T9" s="19"/>
      <c r="U9" s="19"/>
      <c r="V9" s="19"/>
      <c r="W9" s="19"/>
      <c r="X9" s="19"/>
      <c r="Y9" s="19"/>
      <c r="Z9" s="19"/>
      <c r="AA9" s="19">
        <v>0</v>
      </c>
      <c r="AB9" s="21">
        <v>62247</v>
      </c>
      <c r="AC9" s="21"/>
      <c r="AD9" s="21">
        <v>766149</v>
      </c>
      <c r="AE9" s="21">
        <v>8907</v>
      </c>
      <c r="AF9" s="21">
        <f>ROUND(ROUND(AA9,4)*AB9,1)</f>
        <v>0</v>
      </c>
      <c r="AG9" s="21">
        <f>ROUND(ROUND(AA9,4)*AC9,1)</f>
        <v>0</v>
      </c>
      <c r="AH9" s="21">
        <f>ROUND(ROUND(AA9,4)*AD9,1)</f>
        <v>0</v>
      </c>
      <c r="AI9" s="21">
        <f>ROUND(ROUND(AA9,4)*AE9,1)</f>
        <v>0</v>
      </c>
      <c r="AJ9" s="24"/>
      <c r="AK9" s="24"/>
      <c r="AL9" s="24"/>
      <c r="AM9" s="15" t="s">
        <v>90</v>
      </c>
      <c r="AN9" s="15" t="s">
        <v>91</v>
      </c>
      <c r="AO9" s="14" t="s">
        <v>104</v>
      </c>
      <c r="AP9" s="14" t="s">
        <v>105</v>
      </c>
      <c r="AQ9" s="14" t="s">
        <v>106</v>
      </c>
      <c r="AR9" s="14"/>
      <c r="AS9" s="14"/>
      <c r="AT9" s="14"/>
      <c r="AU9" s="14"/>
      <c r="AV9" s="14"/>
      <c r="AW9" s="15" t="s">
        <v>95</v>
      </c>
    </row>
    <row r="10" spans="1:49" ht="17.25" customHeight="1">
      <c r="A10" s="104" t="s">
        <v>125</v>
      </c>
      <c r="B10" s="105" t="s">
        <v>126</v>
      </c>
      <c r="C10" s="106" t="s">
        <v>127</v>
      </c>
      <c r="D10" s="103" t="str">
        <f>C13</f>
        <v>B</v>
      </c>
      <c r="E10" s="107"/>
      <c r="F10" s="107"/>
      <c r="G10" s="104"/>
      <c r="H10" s="140">
        <f>ROUND(H13,0)</f>
        <v>146504547</v>
      </c>
      <c r="M10" s="16"/>
      <c r="N10" s="17"/>
      <c r="O10" s="17"/>
      <c r="P10" s="22"/>
      <c r="Q10" s="23"/>
      <c r="R10" s="22"/>
      <c r="S10" s="19"/>
      <c r="T10" s="19"/>
      <c r="U10" s="19"/>
      <c r="V10" s="19"/>
      <c r="W10" s="19"/>
      <c r="X10" s="19"/>
      <c r="Y10" s="19"/>
      <c r="Z10" s="19"/>
      <c r="AA10" s="19"/>
      <c r="AB10" s="21"/>
      <c r="AC10" s="21"/>
      <c r="AD10" s="21"/>
      <c r="AE10" s="21"/>
      <c r="AF10" s="21"/>
      <c r="AG10" s="21"/>
      <c r="AH10" s="21"/>
      <c r="AI10" s="21"/>
      <c r="AJ10" s="24"/>
      <c r="AK10" s="24"/>
      <c r="AL10" s="24"/>
      <c r="AM10" s="15"/>
      <c r="AN10" s="15"/>
      <c r="AO10" s="14"/>
      <c r="AP10" s="14"/>
      <c r="AQ10" s="14"/>
      <c r="AR10" s="14"/>
      <c r="AS10" s="14"/>
      <c r="AT10" s="14"/>
      <c r="AU10" s="14"/>
      <c r="AV10" s="14"/>
      <c r="AW10" s="15"/>
    </row>
    <row r="11" spans="1:49" ht="17.25" customHeight="1">
      <c r="A11" s="108"/>
      <c r="B11" s="109" t="s">
        <v>117</v>
      </c>
      <c r="C11" s="103" t="s">
        <v>128</v>
      </c>
      <c r="D11" s="103" t="s">
        <v>119</v>
      </c>
      <c r="E11" s="110"/>
      <c r="F11" s="110"/>
      <c r="G11" s="108"/>
      <c r="H11" s="141">
        <f>ROUND('PL1-2'!V15,0)</f>
        <v>149101390</v>
      </c>
      <c r="M11" s="16"/>
      <c r="N11" s="17"/>
      <c r="O11" s="17"/>
      <c r="P11" s="22"/>
      <c r="Q11" s="23"/>
      <c r="R11" s="22"/>
      <c r="S11" s="19"/>
      <c r="T11" s="19"/>
      <c r="U11" s="19"/>
      <c r="V11" s="19"/>
      <c r="W11" s="19"/>
      <c r="X11" s="19"/>
      <c r="Y11" s="19"/>
      <c r="Z11" s="19"/>
      <c r="AA11" s="19"/>
      <c r="AB11" s="21"/>
      <c r="AC11" s="21"/>
      <c r="AD11" s="21"/>
      <c r="AE11" s="21"/>
      <c r="AF11" s="21"/>
      <c r="AG11" s="21"/>
      <c r="AH11" s="21"/>
      <c r="AI11" s="21"/>
      <c r="AJ11" s="24"/>
      <c r="AK11" s="24"/>
      <c r="AL11" s="24"/>
      <c r="AM11" s="15"/>
      <c r="AN11" s="15"/>
      <c r="AO11" s="14"/>
      <c r="AP11" s="14"/>
      <c r="AQ11" s="14"/>
      <c r="AR11" s="14"/>
      <c r="AS11" s="14"/>
      <c r="AT11" s="14"/>
      <c r="AU11" s="14"/>
      <c r="AV11" s="14"/>
      <c r="AW11" s="15"/>
    </row>
    <row r="12" spans="1:49" ht="17.25" customHeight="1">
      <c r="A12" s="108"/>
      <c r="B12" s="109" t="s">
        <v>129</v>
      </c>
      <c r="C12" s="103" t="s">
        <v>130</v>
      </c>
      <c r="D12" s="103" t="s">
        <v>122</v>
      </c>
      <c r="E12" s="110"/>
      <c r="F12" s="110"/>
      <c r="G12" s="108"/>
      <c r="H12" s="141">
        <f>ROUND('[1]Tổng hợp VT'!R17,0)</f>
        <v>-2596843</v>
      </c>
      <c r="M12" s="16"/>
      <c r="N12" s="17"/>
      <c r="O12" s="17"/>
      <c r="P12" s="22"/>
      <c r="Q12" s="23"/>
      <c r="R12" s="22"/>
      <c r="S12" s="19"/>
      <c r="T12" s="19"/>
      <c r="U12" s="19"/>
      <c r="V12" s="19"/>
      <c r="W12" s="19"/>
      <c r="X12" s="19"/>
      <c r="Y12" s="19"/>
      <c r="Z12" s="19"/>
      <c r="AA12" s="19"/>
      <c r="AB12" s="21"/>
      <c r="AC12" s="21"/>
      <c r="AD12" s="21"/>
      <c r="AE12" s="21"/>
      <c r="AF12" s="21"/>
      <c r="AG12" s="21"/>
      <c r="AH12" s="21"/>
      <c r="AI12" s="21"/>
      <c r="AJ12" s="24"/>
      <c r="AK12" s="24"/>
      <c r="AL12" s="24"/>
      <c r="AM12" s="15"/>
      <c r="AN12" s="15"/>
      <c r="AO12" s="14"/>
      <c r="AP12" s="14"/>
      <c r="AQ12" s="14"/>
      <c r="AR12" s="14"/>
      <c r="AS12" s="14"/>
      <c r="AT12" s="14"/>
      <c r="AU12" s="14"/>
      <c r="AV12" s="14"/>
      <c r="AW12" s="15"/>
    </row>
    <row r="13" spans="1:49" ht="17.25" customHeight="1">
      <c r="A13" s="108"/>
      <c r="B13" s="109" t="s">
        <v>123</v>
      </c>
      <c r="C13" s="103" t="s">
        <v>9</v>
      </c>
      <c r="D13" s="103" t="s">
        <v>131</v>
      </c>
      <c r="E13" s="110"/>
      <c r="F13" s="110"/>
      <c r="G13" s="108"/>
      <c r="H13" s="141">
        <f>H11+H12</f>
        <v>146504547</v>
      </c>
      <c r="M13" s="16"/>
      <c r="N13" s="17"/>
      <c r="O13" s="17"/>
      <c r="P13" s="22"/>
      <c r="Q13" s="23"/>
      <c r="R13" s="22"/>
      <c r="S13" s="19"/>
      <c r="T13" s="19"/>
      <c r="U13" s="19"/>
      <c r="V13" s="19"/>
      <c r="W13" s="19"/>
      <c r="X13" s="19"/>
      <c r="Y13" s="19"/>
      <c r="Z13" s="19"/>
      <c r="AA13" s="19"/>
      <c r="AB13" s="21"/>
      <c r="AC13" s="21"/>
      <c r="AD13" s="21"/>
      <c r="AE13" s="21"/>
      <c r="AF13" s="21"/>
      <c r="AG13" s="21"/>
      <c r="AH13" s="21"/>
      <c r="AI13" s="21"/>
      <c r="AJ13" s="24"/>
      <c r="AK13" s="24"/>
      <c r="AL13" s="24"/>
      <c r="AM13" s="15"/>
      <c r="AN13" s="15"/>
      <c r="AO13" s="14"/>
      <c r="AP13" s="14"/>
      <c r="AQ13" s="14"/>
      <c r="AR13" s="14"/>
      <c r="AS13" s="14"/>
      <c r="AT13" s="14"/>
      <c r="AU13" s="14"/>
      <c r="AV13" s="14"/>
      <c r="AW13" s="15"/>
    </row>
    <row r="14" spans="1:49" ht="17.25" customHeight="1">
      <c r="A14" s="104" t="s">
        <v>132</v>
      </c>
      <c r="B14" s="105" t="s">
        <v>133</v>
      </c>
      <c r="C14" s="106" t="s">
        <v>134</v>
      </c>
      <c r="D14" s="103" t="str">
        <f>C15</f>
        <v>C1</v>
      </c>
      <c r="E14" s="107"/>
      <c r="F14" s="107"/>
      <c r="G14" s="104"/>
      <c r="H14" s="140">
        <f>ROUND(H15,0)</f>
        <v>636480</v>
      </c>
      <c r="M14" s="16"/>
      <c r="N14" s="17"/>
      <c r="O14" s="17"/>
      <c r="P14" s="22"/>
      <c r="Q14" s="23"/>
      <c r="R14" s="22"/>
      <c r="S14" s="19"/>
      <c r="T14" s="19"/>
      <c r="U14" s="19"/>
      <c r="V14" s="19"/>
      <c r="W14" s="19"/>
      <c r="X14" s="19"/>
      <c r="Y14" s="19"/>
      <c r="Z14" s="19"/>
      <c r="AA14" s="19"/>
      <c r="AB14" s="21"/>
      <c r="AC14" s="21"/>
      <c r="AD14" s="21"/>
      <c r="AE14" s="21"/>
      <c r="AF14" s="21"/>
      <c r="AG14" s="21"/>
      <c r="AH14" s="21"/>
      <c r="AI14" s="21"/>
      <c r="AJ14" s="24"/>
      <c r="AK14" s="24"/>
      <c r="AL14" s="24"/>
      <c r="AM14" s="15"/>
      <c r="AN14" s="15"/>
      <c r="AO14" s="14"/>
      <c r="AP14" s="14"/>
      <c r="AQ14" s="14"/>
      <c r="AR14" s="14"/>
      <c r="AS14" s="14"/>
      <c r="AT14" s="14"/>
      <c r="AU14" s="14"/>
      <c r="AV14" s="14"/>
      <c r="AW14" s="15"/>
    </row>
    <row r="15" spans="1:49" ht="17.25" customHeight="1">
      <c r="A15" s="108"/>
      <c r="B15" s="109" t="s">
        <v>117</v>
      </c>
      <c r="C15" s="103" t="s">
        <v>135</v>
      </c>
      <c r="D15" s="103" t="s">
        <v>119</v>
      </c>
      <c r="E15" s="110"/>
      <c r="F15" s="110"/>
      <c r="G15" s="108"/>
      <c r="H15" s="141">
        <f>ROUND('PL1-2'!W15,0)</f>
        <v>636480</v>
      </c>
      <c r="M15" s="25"/>
      <c r="N15" s="26"/>
      <c r="O15" s="26"/>
      <c r="P15" s="27" t="s">
        <v>107</v>
      </c>
      <c r="Q15" s="27" t="s">
        <v>108</v>
      </c>
      <c r="R15" s="27"/>
      <c r="S15" s="28"/>
      <c r="T15" s="28"/>
      <c r="U15" s="28"/>
      <c r="V15" s="28"/>
      <c r="W15" s="28"/>
      <c r="X15" s="28"/>
      <c r="Y15" s="28"/>
      <c r="Z15" s="28"/>
      <c r="AA15" s="29"/>
      <c r="AB15" s="29"/>
      <c r="AC15" s="30"/>
      <c r="AD15" s="29"/>
      <c r="AE15" s="29"/>
      <c r="AF15" s="29">
        <f>ROUND(SUM(AF7:AF14),0)</f>
        <v>582400</v>
      </c>
      <c r="AG15" s="30">
        <f>ROUND(SUM(AG7:AG14),0)</f>
        <v>0</v>
      </c>
      <c r="AH15" s="29">
        <f>ROUND(SUM(AH7:AH14),0)</f>
        <v>122789380</v>
      </c>
      <c r="AI15" s="29">
        <f>ROUND(SUM(AI7:AI14),0)</f>
        <v>524160</v>
      </c>
      <c r="AJ15" s="29"/>
      <c r="AK15" s="29"/>
      <c r="AL15" s="29"/>
      <c r="AM15" s="15"/>
      <c r="AN15" s="15"/>
      <c r="AO15" s="14"/>
      <c r="AP15" s="14"/>
      <c r="AQ15" s="14"/>
      <c r="AR15" s="14"/>
      <c r="AS15" s="14"/>
      <c r="AT15" s="14"/>
      <c r="AU15" s="14"/>
      <c r="AV15" s="14"/>
      <c r="AW15" s="15"/>
    </row>
    <row r="16" spans="1:8" ht="17.25" customHeight="1">
      <c r="A16" s="104">
        <f>""</f>
      </c>
      <c r="B16" s="105" t="s">
        <v>136</v>
      </c>
      <c r="C16" s="106" t="s">
        <v>137</v>
      </c>
      <c r="D16" s="103" t="s">
        <v>138</v>
      </c>
      <c r="E16" s="107"/>
      <c r="F16" s="107"/>
      <c r="G16" s="112"/>
      <c r="H16" s="140">
        <f>ROUND(H6+H10+H14,1)</f>
        <v>170834827</v>
      </c>
    </row>
    <row r="17" spans="1:8" ht="17.25" customHeight="1">
      <c r="A17" s="108" t="s">
        <v>7</v>
      </c>
      <c r="B17" s="109" t="s">
        <v>139</v>
      </c>
      <c r="C17" s="103" t="s">
        <v>10</v>
      </c>
      <c r="D17" s="103" t="s">
        <v>140</v>
      </c>
      <c r="E17" s="110"/>
      <c r="F17" s="110"/>
      <c r="G17" s="125" t="str">
        <f>'[1]HSXL'!C$14</f>
        <v>65%</v>
      </c>
      <c r="H17" s="141">
        <f>ROUND(H10*'[1]HSXL'!D$14,1)</f>
        <v>95227955.6</v>
      </c>
    </row>
    <row r="18" spans="1:8" ht="17.25" customHeight="1">
      <c r="A18" s="108" t="s">
        <v>141</v>
      </c>
      <c r="B18" s="109" t="s">
        <v>142</v>
      </c>
      <c r="C18" s="103" t="s">
        <v>143</v>
      </c>
      <c r="D18" s="103" t="s">
        <v>144</v>
      </c>
      <c r="E18" s="110"/>
      <c r="F18" s="110"/>
      <c r="G18" s="125" t="str">
        <f>'[1]HSXL'!C$16</f>
        <v>5,5%</v>
      </c>
      <c r="H18" s="141">
        <f>ROUND((H16+H17)*'[1]HSXL'!D$16,1)</f>
        <v>14633453</v>
      </c>
    </row>
    <row r="19" spans="1:8" ht="17.25" customHeight="1">
      <c r="A19" s="113">
        <f>""</f>
      </c>
      <c r="B19" s="114" t="s">
        <v>145</v>
      </c>
      <c r="C19" s="115" t="s">
        <v>146</v>
      </c>
      <c r="D19" s="103" t="s">
        <v>147</v>
      </c>
      <c r="E19" s="116"/>
      <c r="F19" s="116"/>
      <c r="G19" s="117"/>
      <c r="H19" s="142">
        <f>ROUND(H16+H17+H18,0)</f>
        <v>280696236</v>
      </c>
    </row>
    <row r="20" spans="1:8" ht="17.25" customHeight="1">
      <c r="A20" s="113" t="s">
        <v>114</v>
      </c>
      <c r="B20" s="114" t="s">
        <v>148</v>
      </c>
      <c r="C20" s="115" t="s">
        <v>149</v>
      </c>
      <c r="D20" s="103" t="s">
        <v>150</v>
      </c>
      <c r="E20" s="118">
        <f>G20</f>
        <v>0.02</v>
      </c>
      <c r="F20" s="116"/>
      <c r="G20" s="119">
        <v>0.02</v>
      </c>
      <c r="H20" s="142">
        <f>ROUND(H19*E20,1)</f>
        <v>5613924.7</v>
      </c>
    </row>
    <row r="21" spans="1:8" ht="17.25" customHeight="1">
      <c r="A21" s="113" t="s">
        <v>125</v>
      </c>
      <c r="B21" s="114" t="s">
        <v>151</v>
      </c>
      <c r="C21" s="115" t="s">
        <v>152</v>
      </c>
      <c r="D21" s="103" t="s">
        <v>153</v>
      </c>
      <c r="E21" s="118">
        <f>G21</f>
        <v>0.03</v>
      </c>
      <c r="F21" s="116"/>
      <c r="G21" s="119">
        <v>0.03</v>
      </c>
      <c r="H21" s="142">
        <f>ROUND(H19*E21,1)</f>
        <v>8420887.1</v>
      </c>
    </row>
    <row r="22" spans="1:8" ht="17.25" customHeight="1">
      <c r="A22" s="113" t="s">
        <v>132</v>
      </c>
      <c r="B22" s="114" t="s">
        <v>154</v>
      </c>
      <c r="C22" s="115" t="s">
        <v>155</v>
      </c>
      <c r="D22" s="103" t="s">
        <v>153</v>
      </c>
      <c r="E22" s="118">
        <f>G22</f>
        <v>0.03</v>
      </c>
      <c r="F22" s="116"/>
      <c r="G22" s="119">
        <f>'[1]HSXL'!D$18</f>
        <v>0.03</v>
      </c>
      <c r="H22" s="142">
        <f>ROUND(H19*E22,1)</f>
        <v>8420887.1</v>
      </c>
    </row>
    <row r="23" spans="1:8" ht="17.25" customHeight="1">
      <c r="A23" s="113" t="s">
        <v>156</v>
      </c>
      <c r="B23" s="114" t="s">
        <v>157</v>
      </c>
      <c r="C23" s="115" t="s">
        <v>158</v>
      </c>
      <c r="D23" s="103" t="s">
        <v>159</v>
      </c>
      <c r="E23" s="116"/>
      <c r="F23" s="116"/>
      <c r="G23" s="113"/>
      <c r="H23" s="142">
        <f>ROUND(H19*E23,1)</f>
        <v>0</v>
      </c>
    </row>
    <row r="24" spans="1:8" ht="17.25" customHeight="1">
      <c r="A24" s="113">
        <f>""</f>
      </c>
      <c r="B24" s="114" t="s">
        <v>160</v>
      </c>
      <c r="C24" s="115" t="s">
        <v>42</v>
      </c>
      <c r="D24" s="103" t="s">
        <v>161</v>
      </c>
      <c r="E24" s="116"/>
      <c r="F24" s="116"/>
      <c r="G24" s="113"/>
      <c r="H24" s="142">
        <f>ROUND(H19+H20+H21+H22+H23,1)</f>
        <v>303151934.9</v>
      </c>
    </row>
    <row r="25" spans="1:8" ht="17.25" customHeight="1">
      <c r="A25" s="108" t="s">
        <v>162</v>
      </c>
      <c r="B25" s="109" t="s">
        <v>163</v>
      </c>
      <c r="C25" s="103" t="s">
        <v>164</v>
      </c>
      <c r="D25" s="103" t="s">
        <v>165</v>
      </c>
      <c r="E25" s="126">
        <f>G25</f>
        <v>0.1</v>
      </c>
      <c r="F25" s="110"/>
      <c r="G25" s="127">
        <f>'[1]HSXL'!D$17</f>
        <v>0.1</v>
      </c>
      <c r="H25" s="141">
        <f>ROUND(H24*E25,1)</f>
        <v>30315193.5</v>
      </c>
    </row>
    <row r="26" spans="1:8" ht="17.25" customHeight="1">
      <c r="A26" s="120" t="s">
        <v>166</v>
      </c>
      <c r="B26" s="121" t="s">
        <v>167</v>
      </c>
      <c r="C26" s="122" t="s">
        <v>168</v>
      </c>
      <c r="D26" s="103" t="s">
        <v>169</v>
      </c>
      <c r="E26" s="123"/>
      <c r="F26" s="123"/>
      <c r="G26" s="120"/>
      <c r="H26" s="143">
        <f>ROUND(H24+H25,1)</f>
        <v>333467128.4</v>
      </c>
    </row>
    <row r="27" spans="1:8" ht="17.25" customHeight="1">
      <c r="A27" s="108" t="s">
        <v>170</v>
      </c>
      <c r="B27" s="109" t="s">
        <v>171</v>
      </c>
      <c r="C27" s="103" t="s">
        <v>172</v>
      </c>
      <c r="D27" s="103" t="s">
        <v>173</v>
      </c>
      <c r="E27" s="110"/>
      <c r="F27" s="110"/>
      <c r="G27" s="108"/>
      <c r="H27" s="141">
        <f>ROUND(E27*H26,1)</f>
        <v>0</v>
      </c>
    </row>
    <row r="28" spans="1:8" ht="17.25" customHeight="1">
      <c r="A28" s="120" t="s">
        <v>174</v>
      </c>
      <c r="B28" s="122" t="s">
        <v>175</v>
      </c>
      <c r="C28" s="122" t="s">
        <v>176</v>
      </c>
      <c r="D28" s="103" t="s">
        <v>177</v>
      </c>
      <c r="E28" s="123"/>
      <c r="F28" s="123"/>
      <c r="G28" s="120"/>
      <c r="H28" s="143">
        <f>ROUND(H26+H27,0)</f>
        <v>333467128</v>
      </c>
    </row>
    <row r="29" spans="1:8" ht="17.25" customHeight="1">
      <c r="A29" s="128"/>
      <c r="B29" s="129" t="s">
        <v>27</v>
      </c>
      <c r="C29" s="129"/>
      <c r="D29" s="124"/>
      <c r="E29" s="130"/>
      <c r="F29" s="130"/>
      <c r="G29" s="128"/>
      <c r="H29" s="144">
        <f>ROUND(H28,-3)</f>
        <v>333467000</v>
      </c>
    </row>
    <row r="30" spans="1:8" ht="30" customHeight="1">
      <c r="A30" s="350" t="s">
        <v>178</v>
      </c>
      <c r="B30" s="351"/>
      <c r="C30" s="352"/>
      <c r="D30" s="352"/>
      <c r="E30" s="353"/>
      <c r="F30" s="353"/>
      <c r="G30" s="354"/>
      <c r="H30" s="355"/>
    </row>
  </sheetData>
  <sheetProtection/>
  <mergeCells count="20">
    <mergeCell ref="AM4:AN4"/>
    <mergeCell ref="AO4:AQ4"/>
    <mergeCell ref="AR4:AT4"/>
    <mergeCell ref="AU4:AV4"/>
    <mergeCell ref="R4:R5"/>
    <mergeCell ref="T4:V4"/>
    <mergeCell ref="AA4:AA5"/>
    <mergeCell ref="AB4:AE4"/>
    <mergeCell ref="AF4:AI4"/>
    <mergeCell ref="AJ4:AL4"/>
    <mergeCell ref="A1:H1"/>
    <mergeCell ref="A2:H2"/>
    <mergeCell ref="A3:H3"/>
    <mergeCell ref="A30:H30"/>
    <mergeCell ref="M1:AI1"/>
    <mergeCell ref="M2:AI2"/>
    <mergeCell ref="M3:AI3"/>
    <mergeCell ref="M4:M5"/>
    <mergeCell ref="N4:P4"/>
    <mergeCell ref="Q4:Q5"/>
  </mergeCells>
  <printOptions/>
  <pageMargins left="1.6354166666666667" right="0" top="0.041666666666666664" bottom="0.20833333333333334" header="0.5729166666666666" footer="0.20833333333333334"/>
  <pageSetup blackAndWhite="1" firstPageNumber="1" useFirstPageNumber="1" horizontalDpi="600" verticalDpi="600" orientation="landscape" r:id="rId3"/>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A2" sqref="A2:E2"/>
    </sheetView>
  </sheetViews>
  <sheetFormatPr defaultColWidth="9.140625" defaultRowHeight="15"/>
  <cols>
    <col min="1" max="1" width="4.7109375" style="200" customWidth="1"/>
    <col min="2" max="2" width="21.00390625" style="200" customWidth="1"/>
    <col min="3" max="3" width="15.00390625" style="200" customWidth="1"/>
    <col min="4" max="4" width="16.140625" style="200" customWidth="1"/>
    <col min="5" max="5" width="29.421875" style="210" customWidth="1"/>
    <col min="6" max="6" width="9.8515625" style="200" bestFit="1" customWidth="1"/>
    <col min="7" max="7" width="8.8515625" style="200" customWidth="1"/>
    <col min="8" max="8" width="12.7109375" style="200" customWidth="1"/>
    <col min="9" max="16384" width="9.140625" style="200" customWidth="1"/>
  </cols>
  <sheetData>
    <row r="1" spans="1:5" ht="37.5" customHeight="1">
      <c r="A1" s="366" t="s">
        <v>429</v>
      </c>
      <c r="B1" s="366"/>
      <c r="C1" s="366"/>
      <c r="D1" s="366"/>
      <c r="E1" s="366"/>
    </row>
    <row r="2" spans="1:5" ht="37.5" customHeight="1">
      <c r="A2" s="367" t="s">
        <v>503</v>
      </c>
      <c r="B2" s="367"/>
      <c r="C2" s="367"/>
      <c r="D2" s="367"/>
      <c r="E2" s="367"/>
    </row>
    <row r="3" spans="1:5" ht="15" customHeight="1">
      <c r="A3" s="362"/>
      <c r="B3" s="362"/>
      <c r="C3" s="362"/>
      <c r="D3" s="362"/>
      <c r="E3" s="362"/>
    </row>
    <row r="4" spans="1:5" ht="29.25" customHeight="1">
      <c r="A4" s="256" t="s">
        <v>0</v>
      </c>
      <c r="B4" s="256" t="s">
        <v>1</v>
      </c>
      <c r="C4" s="256" t="s">
        <v>39</v>
      </c>
      <c r="D4" s="256" t="s">
        <v>40</v>
      </c>
      <c r="E4" s="256" t="s">
        <v>265</v>
      </c>
    </row>
    <row r="5" spans="1:5" ht="29.25" customHeight="1">
      <c r="A5" s="256" t="s">
        <v>5</v>
      </c>
      <c r="B5" s="294" t="s">
        <v>336</v>
      </c>
      <c r="C5" s="295"/>
      <c r="D5" s="296"/>
      <c r="E5" s="363" t="s">
        <v>337</v>
      </c>
    </row>
    <row r="6" spans="1:5" ht="29.25" customHeight="1">
      <c r="A6" s="258">
        <v>1</v>
      </c>
      <c r="B6" s="297" t="s">
        <v>284</v>
      </c>
      <c r="C6" s="297"/>
      <c r="D6" s="298">
        <v>4194400</v>
      </c>
      <c r="E6" s="364"/>
    </row>
    <row r="7" spans="1:5" ht="29.25" customHeight="1">
      <c r="A7" s="258">
        <v>2</v>
      </c>
      <c r="B7" s="297" t="s">
        <v>285</v>
      </c>
      <c r="C7" s="297"/>
      <c r="D7" s="299">
        <v>22</v>
      </c>
      <c r="E7" s="364"/>
    </row>
    <row r="8" spans="1:5" s="209" customFormat="1" ht="29.25" customHeight="1">
      <c r="A8" s="256"/>
      <c r="B8" s="294" t="s">
        <v>269</v>
      </c>
      <c r="C8" s="295"/>
      <c r="D8" s="296">
        <f>ROUND(D6/22,-3)</f>
        <v>191000</v>
      </c>
      <c r="E8" s="365"/>
    </row>
    <row r="9" spans="1:5" ht="19.5" customHeight="1" hidden="1">
      <c r="A9" s="201" t="s">
        <v>141</v>
      </c>
      <c r="B9" s="202" t="s">
        <v>316</v>
      </c>
      <c r="C9" s="203"/>
      <c r="D9" s="203"/>
      <c r="E9" s="204"/>
    </row>
    <row r="10" spans="1:5" ht="19.5" customHeight="1" hidden="1">
      <c r="A10" s="205">
        <v>1</v>
      </c>
      <c r="B10" s="206" t="s">
        <v>41</v>
      </c>
      <c r="C10" s="206"/>
      <c r="D10" s="206"/>
      <c r="E10" s="207">
        <v>1300000</v>
      </c>
    </row>
    <row r="11" spans="1:5" ht="19.5" customHeight="1" hidden="1">
      <c r="A11" s="205">
        <v>2</v>
      </c>
      <c r="B11" s="206" t="s">
        <v>268</v>
      </c>
      <c r="C11" s="206"/>
      <c r="D11" s="206"/>
      <c r="E11" s="208">
        <v>4.65</v>
      </c>
    </row>
    <row r="12" spans="1:6" s="209" customFormat="1" ht="19.5" customHeight="1" hidden="1">
      <c r="A12" s="201"/>
      <c r="B12" s="202" t="s">
        <v>269</v>
      </c>
      <c r="C12" s="203"/>
      <c r="D12" s="203"/>
      <c r="E12" s="204">
        <f>E10/22*E11</f>
        <v>274772.7272727273</v>
      </c>
      <c r="F12" s="209">
        <f>1210000*0.25</f>
        <v>302500</v>
      </c>
    </row>
  </sheetData>
  <sheetProtection/>
  <mergeCells count="4">
    <mergeCell ref="A3:E3"/>
    <mergeCell ref="E5:E8"/>
    <mergeCell ref="A1:E1"/>
    <mergeCell ref="A2:E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6">
      <selection activeCell="A2" sqref="A2:G2"/>
    </sheetView>
  </sheetViews>
  <sheetFormatPr defaultColWidth="9.140625" defaultRowHeight="15"/>
  <cols>
    <col min="1" max="1" width="4.7109375" style="200" customWidth="1"/>
    <col min="2" max="2" width="45.8515625" style="200" customWidth="1"/>
    <col min="3" max="3" width="11.57421875" style="200" bestFit="1" customWidth="1"/>
    <col min="4" max="4" width="11.421875" style="200" customWidth="1"/>
    <col min="5" max="5" width="12.57421875" style="210" customWidth="1"/>
    <col min="6" max="6" width="16.28125" style="200" customWidth="1"/>
    <col min="7" max="7" width="25.57421875" style="200" customWidth="1"/>
    <col min="8" max="8" width="8.8515625" style="200" customWidth="1"/>
    <col min="9" max="9" width="12.7109375" style="200" customWidth="1"/>
    <col min="10" max="10" width="24.8515625" style="200" customWidth="1"/>
    <col min="11" max="16384" width="9.140625" style="200" customWidth="1"/>
  </cols>
  <sheetData>
    <row r="1" spans="1:7" ht="37.5" customHeight="1">
      <c r="A1" s="368" t="s">
        <v>432</v>
      </c>
      <c r="B1" s="368"/>
      <c r="C1" s="368"/>
      <c r="D1" s="368"/>
      <c r="E1" s="368"/>
      <c r="F1" s="368"/>
      <c r="G1" s="368"/>
    </row>
    <row r="2" spans="1:7" ht="18.75">
      <c r="A2" s="370" t="s">
        <v>504</v>
      </c>
      <c r="B2" s="370"/>
      <c r="C2" s="370"/>
      <c r="D2" s="370"/>
      <c r="E2" s="370"/>
      <c r="F2" s="370"/>
      <c r="G2" s="370"/>
    </row>
    <row r="3" spans="1:7" ht="18.75">
      <c r="A3" s="285"/>
      <c r="B3" s="285"/>
      <c r="C3" s="285"/>
      <c r="D3" s="285"/>
      <c r="E3" s="285"/>
      <c r="F3" s="285"/>
      <c r="G3" s="285"/>
    </row>
    <row r="4" spans="1:7" ht="33">
      <c r="A4" s="212" t="s">
        <v>0</v>
      </c>
      <c r="B4" s="212" t="s">
        <v>1</v>
      </c>
      <c r="C4" s="212" t="s">
        <v>2</v>
      </c>
      <c r="D4" s="213" t="s">
        <v>179</v>
      </c>
      <c r="E4" s="214" t="s">
        <v>317</v>
      </c>
      <c r="F4" s="215" t="s">
        <v>321</v>
      </c>
      <c r="G4" s="216" t="s">
        <v>265</v>
      </c>
    </row>
    <row r="5" spans="1:7" ht="29.25" customHeight="1">
      <c r="A5" s="222">
        <v>1</v>
      </c>
      <c r="B5" s="241" t="s">
        <v>408</v>
      </c>
      <c r="C5" s="231" t="s">
        <v>318</v>
      </c>
      <c r="D5" s="229">
        <f>+'PL 2.3a'!D29</f>
        <v>46</v>
      </c>
      <c r="E5" s="242">
        <v>40000</v>
      </c>
      <c r="F5" s="243">
        <f>D5*E5</f>
        <v>1840000</v>
      </c>
      <c r="G5" s="233" t="s">
        <v>345</v>
      </c>
    </row>
    <row r="6" spans="1:7" ht="29.25" customHeight="1">
      <c r="A6" s="222">
        <v>2</v>
      </c>
      <c r="B6" s="240" t="s">
        <v>411</v>
      </c>
      <c r="C6" s="222" t="s">
        <v>319</v>
      </c>
      <c r="D6" s="224">
        <f>+'PL 2.3a'!D29</f>
        <v>46</v>
      </c>
      <c r="E6" s="225">
        <v>100000</v>
      </c>
      <c r="F6" s="237">
        <f>D6*E6</f>
        <v>4600000</v>
      </c>
      <c r="G6" s="220" t="s">
        <v>330</v>
      </c>
    </row>
    <row r="7" spans="1:7" ht="29.25" customHeight="1">
      <c r="A7" s="222">
        <v>3</v>
      </c>
      <c r="B7" s="240" t="s">
        <v>352</v>
      </c>
      <c r="C7" s="222" t="s">
        <v>333</v>
      </c>
      <c r="D7" s="224">
        <v>2</v>
      </c>
      <c r="E7" s="225">
        <v>350000</v>
      </c>
      <c r="F7" s="237">
        <f>+E7*D7</f>
        <v>700000</v>
      </c>
      <c r="G7" s="220" t="s">
        <v>330</v>
      </c>
    </row>
    <row r="8" spans="1:7" ht="29.25" customHeight="1">
      <c r="A8" s="222">
        <v>4</v>
      </c>
      <c r="B8" s="240" t="s">
        <v>410</v>
      </c>
      <c r="C8" s="222" t="s">
        <v>319</v>
      </c>
      <c r="D8" s="224">
        <f>+'PL 2.3a'!D29</f>
        <v>46</v>
      </c>
      <c r="E8" s="225">
        <v>50000</v>
      </c>
      <c r="F8" s="237">
        <f>+E8*D8</f>
        <v>2300000</v>
      </c>
      <c r="G8" s="220" t="s">
        <v>330</v>
      </c>
    </row>
    <row r="9" spans="1:7" ht="29.25" customHeight="1">
      <c r="A9" s="222">
        <v>5</v>
      </c>
      <c r="B9" s="240" t="s">
        <v>349</v>
      </c>
      <c r="C9" s="222" t="s">
        <v>350</v>
      </c>
      <c r="D9" s="224">
        <v>1</v>
      </c>
      <c r="E9" s="225">
        <v>5000000</v>
      </c>
      <c r="F9" s="237">
        <f>+E9*D9</f>
        <v>5000000</v>
      </c>
      <c r="G9" s="233" t="s">
        <v>345</v>
      </c>
    </row>
    <row r="10" spans="1:7" ht="29.25" customHeight="1">
      <c r="A10" s="222">
        <v>6</v>
      </c>
      <c r="B10" s="240" t="s">
        <v>347</v>
      </c>
      <c r="C10" s="222" t="s">
        <v>14</v>
      </c>
      <c r="D10" s="224">
        <v>1</v>
      </c>
      <c r="E10" s="225">
        <v>1500000</v>
      </c>
      <c r="F10" s="237">
        <f>+E10*D10</f>
        <v>1500000</v>
      </c>
      <c r="G10" s="220" t="s">
        <v>330</v>
      </c>
    </row>
    <row r="11" spans="1:7" ht="29.25" customHeight="1">
      <c r="A11" s="222">
        <v>7</v>
      </c>
      <c r="B11" s="240" t="s">
        <v>361</v>
      </c>
      <c r="C11" s="222" t="s">
        <v>353</v>
      </c>
      <c r="D11" s="224">
        <f>+'PL 2.3a'!D29</f>
        <v>46</v>
      </c>
      <c r="E11" s="225">
        <v>150000</v>
      </c>
      <c r="F11" s="237">
        <f>+E11*D11</f>
        <v>6900000</v>
      </c>
      <c r="G11" s="233" t="s">
        <v>345</v>
      </c>
    </row>
    <row r="12" spans="1:7" ht="18.75">
      <c r="A12" s="369" t="s">
        <v>360</v>
      </c>
      <c r="B12" s="369"/>
      <c r="C12" s="369"/>
      <c r="D12" s="369"/>
      <c r="E12" s="369"/>
      <c r="F12" s="219">
        <f>SUM(F5:F11)</f>
        <v>22840000</v>
      </c>
      <c r="G12" s="268"/>
    </row>
    <row r="14" ht="18.75">
      <c r="B14" s="293" t="s">
        <v>436</v>
      </c>
    </row>
  </sheetData>
  <sheetProtection/>
  <mergeCells count="3">
    <mergeCell ref="A1:G1"/>
    <mergeCell ref="A12:E12"/>
    <mergeCell ref="A2:G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9"/>
  <sheetViews>
    <sheetView zoomScalePageLayoutView="0" workbookViewId="0" topLeftCell="A1">
      <selection activeCell="A2" sqref="A2:D2"/>
    </sheetView>
  </sheetViews>
  <sheetFormatPr defaultColWidth="9.140625" defaultRowHeight="15"/>
  <cols>
    <col min="1" max="1" width="4.7109375" style="200" customWidth="1"/>
    <col min="2" max="2" width="54.57421875" style="200" customWidth="1"/>
    <col min="3" max="3" width="13.140625" style="200" customWidth="1"/>
    <col min="4" max="4" width="14.421875" style="200" customWidth="1"/>
    <col min="5" max="5" width="17.57421875" style="210" customWidth="1"/>
    <col min="6" max="6" width="37.28125" style="200" customWidth="1"/>
    <col min="7" max="7" width="9.8515625" style="200" bestFit="1" customWidth="1"/>
    <col min="8" max="8" width="8.8515625" style="200" customWidth="1"/>
    <col min="9" max="9" width="12.7109375" style="200" customWidth="1"/>
    <col min="10" max="16384" width="9.140625" style="200" customWidth="1"/>
  </cols>
  <sheetData>
    <row r="1" spans="1:6" ht="37.5" customHeight="1">
      <c r="A1" s="366" t="s">
        <v>433</v>
      </c>
      <c r="B1" s="366"/>
      <c r="C1" s="366"/>
      <c r="D1" s="366"/>
      <c r="E1" s="267"/>
      <c r="F1" s="267"/>
    </row>
    <row r="2" spans="1:6" ht="37.5" customHeight="1">
      <c r="A2" s="367" t="s">
        <v>505</v>
      </c>
      <c r="B2" s="367"/>
      <c r="C2" s="367"/>
      <c r="D2" s="367"/>
      <c r="E2" s="300"/>
      <c r="F2" s="267"/>
    </row>
    <row r="3" spans="1:6" ht="15" customHeight="1">
      <c r="A3" s="362"/>
      <c r="B3" s="362"/>
      <c r="C3" s="362"/>
      <c r="D3" s="362"/>
      <c r="E3" s="362"/>
      <c r="F3" s="257"/>
    </row>
    <row r="4" spans="1:6" ht="29.25" customHeight="1">
      <c r="A4" s="256" t="s">
        <v>50</v>
      </c>
      <c r="B4" s="256" t="s">
        <v>356</v>
      </c>
      <c r="C4" s="256" t="s">
        <v>358</v>
      </c>
      <c r="D4" s="256" t="s">
        <v>179</v>
      </c>
      <c r="E4" s="253" t="s">
        <v>265</v>
      </c>
      <c r="F4" s="265"/>
    </row>
    <row r="5" spans="1:6" ht="29.25" customHeight="1">
      <c r="A5" s="258">
        <v>1</v>
      </c>
      <c r="B5" s="297" t="s">
        <v>365</v>
      </c>
      <c r="C5" s="258" t="s">
        <v>359</v>
      </c>
      <c r="D5" s="301">
        <v>2</v>
      </c>
      <c r="E5" s="254"/>
      <c r="F5" s="264"/>
    </row>
    <row r="6" spans="1:6" ht="29.25" customHeight="1">
      <c r="A6" s="258">
        <v>2</v>
      </c>
      <c r="B6" s="297" t="s">
        <v>364</v>
      </c>
      <c r="C6" s="258" t="s">
        <v>359</v>
      </c>
      <c r="D6" s="301">
        <v>2</v>
      </c>
      <c r="E6" s="254"/>
      <c r="F6" s="264"/>
    </row>
    <row r="7" spans="1:6" ht="29.25" customHeight="1">
      <c r="A7" s="258">
        <v>3</v>
      </c>
      <c r="B7" s="302" t="s">
        <v>366</v>
      </c>
      <c r="C7" s="258" t="s">
        <v>359</v>
      </c>
      <c r="D7" s="301">
        <v>2</v>
      </c>
      <c r="E7" s="254"/>
      <c r="F7" s="264"/>
    </row>
    <row r="8" spans="1:6" ht="29.25" customHeight="1">
      <c r="A8" s="258">
        <v>4</v>
      </c>
      <c r="B8" s="297" t="s">
        <v>393</v>
      </c>
      <c r="C8" s="258" t="s">
        <v>359</v>
      </c>
      <c r="D8" s="301">
        <v>2</v>
      </c>
      <c r="E8" s="254"/>
      <c r="F8" s="264"/>
    </row>
    <row r="9" spans="1:6" ht="29.25" customHeight="1">
      <c r="A9" s="258">
        <v>5</v>
      </c>
      <c r="B9" s="297" t="s">
        <v>402</v>
      </c>
      <c r="C9" s="258" t="s">
        <v>359</v>
      </c>
      <c r="D9" s="301">
        <v>2</v>
      </c>
      <c r="E9" s="254"/>
      <c r="F9" s="264"/>
    </row>
    <row r="10" spans="1:6" ht="29.25" customHeight="1">
      <c r="A10" s="258">
        <v>6</v>
      </c>
      <c r="B10" s="297" t="s">
        <v>403</v>
      </c>
      <c r="C10" s="258" t="s">
        <v>359</v>
      </c>
      <c r="D10" s="301">
        <v>2</v>
      </c>
      <c r="E10" s="254"/>
      <c r="F10" s="264"/>
    </row>
    <row r="11" spans="1:6" ht="29.25" customHeight="1">
      <c r="A11" s="258">
        <v>7</v>
      </c>
      <c r="B11" s="297" t="s">
        <v>363</v>
      </c>
      <c r="C11" s="258" t="s">
        <v>359</v>
      </c>
      <c r="D11" s="301">
        <v>2</v>
      </c>
      <c r="E11" s="254"/>
      <c r="F11" s="264"/>
    </row>
    <row r="12" spans="1:6" ht="29.25" customHeight="1">
      <c r="A12" s="258">
        <v>8</v>
      </c>
      <c r="B12" s="297" t="s">
        <v>394</v>
      </c>
      <c r="C12" s="258" t="s">
        <v>359</v>
      </c>
      <c r="D12" s="301">
        <v>2</v>
      </c>
      <c r="E12" s="255"/>
      <c r="F12" s="264"/>
    </row>
    <row r="13" spans="1:6" ht="29.25" customHeight="1">
      <c r="A13" s="258">
        <v>9</v>
      </c>
      <c r="B13" s="297" t="s">
        <v>395</v>
      </c>
      <c r="C13" s="258" t="s">
        <v>359</v>
      </c>
      <c r="D13" s="301">
        <v>2</v>
      </c>
      <c r="E13" s="255"/>
      <c r="F13" s="264"/>
    </row>
    <row r="14" spans="1:6" ht="29.25" customHeight="1">
      <c r="A14" s="258">
        <v>10</v>
      </c>
      <c r="B14" s="297" t="s">
        <v>396</v>
      </c>
      <c r="C14" s="258" t="s">
        <v>359</v>
      </c>
      <c r="D14" s="301">
        <v>2</v>
      </c>
      <c r="E14" s="255"/>
      <c r="F14" s="264"/>
    </row>
    <row r="15" spans="1:6" ht="29.25" customHeight="1">
      <c r="A15" s="258">
        <v>11</v>
      </c>
      <c r="B15" s="297" t="s">
        <v>397</v>
      </c>
      <c r="C15" s="258" t="s">
        <v>359</v>
      </c>
      <c r="D15" s="301">
        <v>2</v>
      </c>
      <c r="E15" s="255"/>
      <c r="F15" s="264"/>
    </row>
    <row r="16" spans="1:6" ht="29.25" customHeight="1">
      <c r="A16" s="258">
        <v>12</v>
      </c>
      <c r="B16" s="297" t="s">
        <v>398</v>
      </c>
      <c r="C16" s="258" t="s">
        <v>359</v>
      </c>
      <c r="D16" s="301">
        <v>2</v>
      </c>
      <c r="E16" s="255"/>
      <c r="F16" s="264"/>
    </row>
    <row r="17" spans="1:6" ht="29.25" customHeight="1">
      <c r="A17" s="258">
        <v>13</v>
      </c>
      <c r="B17" s="297" t="s">
        <v>399</v>
      </c>
      <c r="C17" s="258" t="s">
        <v>359</v>
      </c>
      <c r="D17" s="301">
        <v>2</v>
      </c>
      <c r="E17" s="255"/>
      <c r="F17" s="264"/>
    </row>
    <row r="18" spans="1:6" ht="29.25" customHeight="1">
      <c r="A18" s="258">
        <v>14</v>
      </c>
      <c r="B18" s="297" t="s">
        <v>400</v>
      </c>
      <c r="C18" s="258" t="s">
        <v>359</v>
      </c>
      <c r="D18" s="301">
        <v>2</v>
      </c>
      <c r="E18" s="255"/>
      <c r="F18" s="264"/>
    </row>
    <row r="19" spans="1:6" ht="19.5" customHeight="1" hidden="1">
      <c r="A19" s="258">
        <v>15</v>
      </c>
      <c r="B19" s="297" t="s">
        <v>394</v>
      </c>
      <c r="C19" s="258" t="s">
        <v>359</v>
      </c>
      <c r="D19" s="295"/>
      <c r="E19" s="204"/>
      <c r="F19" s="371" t="s">
        <v>283</v>
      </c>
    </row>
    <row r="20" spans="1:6" ht="19.5" customHeight="1" hidden="1">
      <c r="A20" s="258">
        <v>16</v>
      </c>
      <c r="B20" s="297" t="s">
        <v>394</v>
      </c>
      <c r="C20" s="258" t="s">
        <v>359</v>
      </c>
      <c r="D20" s="297"/>
      <c r="E20" s="207">
        <v>1300000</v>
      </c>
      <c r="F20" s="371"/>
    </row>
    <row r="21" spans="1:6" ht="19.5" customHeight="1" hidden="1">
      <c r="A21" s="258">
        <v>17</v>
      </c>
      <c r="B21" s="297" t="s">
        <v>394</v>
      </c>
      <c r="C21" s="258" t="s">
        <v>359</v>
      </c>
      <c r="D21" s="297"/>
      <c r="E21" s="208">
        <v>4.65</v>
      </c>
      <c r="F21" s="371"/>
    </row>
    <row r="22" spans="1:7" s="209" customFormat="1" ht="19.5" customHeight="1" hidden="1">
      <c r="A22" s="258">
        <v>18</v>
      </c>
      <c r="B22" s="297" t="s">
        <v>394</v>
      </c>
      <c r="C22" s="258" t="s">
        <v>359</v>
      </c>
      <c r="D22" s="295"/>
      <c r="E22" s="204">
        <f>E20/22*E21</f>
        <v>274772.7272727273</v>
      </c>
      <c r="F22" s="371"/>
      <c r="G22" s="209">
        <f>1210000*0.25</f>
        <v>302500</v>
      </c>
    </row>
    <row r="23" spans="1:6" ht="29.25" customHeight="1">
      <c r="A23" s="258">
        <v>19</v>
      </c>
      <c r="B23" s="297" t="s">
        <v>401</v>
      </c>
      <c r="C23" s="258" t="s">
        <v>359</v>
      </c>
      <c r="D23" s="301">
        <v>2</v>
      </c>
      <c r="E23" s="255"/>
      <c r="F23" s="264"/>
    </row>
    <row r="24" spans="1:6" ht="29.25" customHeight="1">
      <c r="A24" s="258">
        <v>20</v>
      </c>
      <c r="B24" s="297" t="s">
        <v>404</v>
      </c>
      <c r="C24" s="258" t="s">
        <v>359</v>
      </c>
      <c r="D24" s="301">
        <v>2</v>
      </c>
      <c r="E24" s="255"/>
      <c r="F24" s="264"/>
    </row>
    <row r="25" spans="1:6" ht="29.25" customHeight="1">
      <c r="A25" s="258">
        <v>21</v>
      </c>
      <c r="B25" s="297" t="s">
        <v>406</v>
      </c>
      <c r="C25" s="258" t="s">
        <v>359</v>
      </c>
      <c r="D25" s="301">
        <v>2</v>
      </c>
      <c r="E25" s="255"/>
      <c r="F25" s="264"/>
    </row>
    <row r="26" spans="1:6" ht="29.25" customHeight="1">
      <c r="A26" s="258">
        <v>22</v>
      </c>
      <c r="B26" s="297" t="s">
        <v>405</v>
      </c>
      <c r="C26" s="258" t="s">
        <v>359</v>
      </c>
      <c r="D26" s="301">
        <v>2</v>
      </c>
      <c r="E26" s="255"/>
      <c r="F26" s="264"/>
    </row>
    <row r="27" spans="1:6" ht="29.25" customHeight="1">
      <c r="A27" s="258">
        <v>23</v>
      </c>
      <c r="B27" s="297" t="s">
        <v>407</v>
      </c>
      <c r="C27" s="258" t="s">
        <v>359</v>
      </c>
      <c r="D27" s="301">
        <v>2</v>
      </c>
      <c r="E27" s="255"/>
      <c r="F27" s="264"/>
    </row>
    <row r="28" spans="1:6" ht="29.25" customHeight="1">
      <c r="A28" s="258">
        <v>24</v>
      </c>
      <c r="B28" s="297" t="s">
        <v>357</v>
      </c>
      <c r="C28" s="258" t="s">
        <v>359</v>
      </c>
      <c r="D28" s="301">
        <v>8</v>
      </c>
      <c r="E28" s="255"/>
      <c r="F28" s="264"/>
    </row>
    <row r="29" spans="1:6" ht="29.25" customHeight="1">
      <c r="A29" s="372" t="s">
        <v>360</v>
      </c>
      <c r="B29" s="373"/>
      <c r="C29" s="374"/>
      <c r="D29" s="301">
        <f>SUM(D5:D28)</f>
        <v>46</v>
      </c>
      <c r="E29" s="255"/>
      <c r="F29" s="264"/>
    </row>
  </sheetData>
  <sheetProtection/>
  <mergeCells count="5">
    <mergeCell ref="A3:E3"/>
    <mergeCell ref="F19:F22"/>
    <mergeCell ref="A29:C29"/>
    <mergeCell ref="A2:D2"/>
    <mergeCell ref="A1:D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7"/>
  <sheetViews>
    <sheetView zoomScalePageLayoutView="0" workbookViewId="0" topLeftCell="A1">
      <selection activeCell="E43" sqref="E43"/>
    </sheetView>
  </sheetViews>
  <sheetFormatPr defaultColWidth="9.140625" defaultRowHeight="15"/>
  <cols>
    <col min="1" max="1" width="5.28125" style="269" customWidth="1"/>
    <col min="2" max="2" width="20.57421875" style="269" customWidth="1"/>
    <col min="3" max="3" width="8.00390625" style="269" customWidth="1"/>
    <col min="4" max="4" width="11.8515625" style="269" customWidth="1"/>
    <col min="5" max="5" width="12.7109375" style="269" customWidth="1"/>
    <col min="6" max="6" width="14.7109375" style="269" customWidth="1"/>
    <col min="7" max="7" width="13.421875" style="269" customWidth="1"/>
    <col min="8" max="8" width="9.140625" style="269" customWidth="1"/>
    <col min="9" max="9" width="15.7109375" style="269" bestFit="1" customWidth="1"/>
    <col min="10" max="16384" width="9.140625" style="269" customWidth="1"/>
  </cols>
  <sheetData>
    <row r="1" spans="1:7" ht="34.5" customHeight="1">
      <c r="A1" s="375" t="s">
        <v>439</v>
      </c>
      <c r="B1" s="376"/>
      <c r="C1" s="376"/>
      <c r="D1" s="376"/>
      <c r="E1" s="376"/>
      <c r="F1" s="376"/>
      <c r="G1" s="376"/>
    </row>
    <row r="2" spans="1:7" ht="6" customHeight="1">
      <c r="A2" s="283"/>
      <c r="B2" s="283"/>
      <c r="C2" s="283"/>
      <c r="D2" s="283"/>
      <c r="E2" s="283"/>
      <c r="F2" s="283"/>
      <c r="G2" s="283"/>
    </row>
    <row r="3" spans="1:7" ht="36.75" customHeight="1">
      <c r="A3" s="377" t="s">
        <v>506</v>
      </c>
      <c r="B3" s="377"/>
      <c r="C3" s="377"/>
      <c r="D3" s="377"/>
      <c r="E3" s="377"/>
      <c r="F3" s="377"/>
      <c r="G3" s="377"/>
    </row>
    <row r="4" ht="13.5" customHeight="1"/>
    <row r="5" spans="1:7" ht="20.25" customHeight="1">
      <c r="A5" s="378" t="s">
        <v>0</v>
      </c>
      <c r="B5" s="378" t="s">
        <v>367</v>
      </c>
      <c r="C5" s="379" t="s">
        <v>368</v>
      </c>
      <c r="D5" s="378" t="s">
        <v>369</v>
      </c>
      <c r="E5" s="378"/>
      <c r="F5" s="378"/>
      <c r="G5" s="378" t="s">
        <v>58</v>
      </c>
    </row>
    <row r="6" spans="1:7" ht="49.5" customHeight="1">
      <c r="A6" s="378"/>
      <c r="B6" s="378"/>
      <c r="C6" s="379"/>
      <c r="D6" s="270" t="s">
        <v>370</v>
      </c>
      <c r="E6" s="270" t="s">
        <v>371</v>
      </c>
      <c r="F6" s="270" t="s">
        <v>372</v>
      </c>
      <c r="G6" s="378"/>
    </row>
    <row r="7" spans="1:7" s="279" customFormat="1" ht="22.5" customHeight="1">
      <c r="A7" s="274">
        <v>1</v>
      </c>
      <c r="B7" s="275" t="s">
        <v>373</v>
      </c>
      <c r="C7" s="276">
        <v>1</v>
      </c>
      <c r="D7" s="276">
        <f>35*2+200</f>
        <v>270</v>
      </c>
      <c r="E7" s="277">
        <f>'[2]PL07-PHUONG TIEN'!E8</f>
        <v>12000</v>
      </c>
      <c r="F7" s="278">
        <f>+D7*E7</f>
        <v>3240000</v>
      </c>
      <c r="G7" s="277">
        <f aca="true" t="shared" si="0" ref="G7:G16">+F7*C7</f>
        <v>3240000</v>
      </c>
    </row>
    <row r="8" spans="1:7" s="279" customFormat="1" ht="22.5" customHeight="1">
      <c r="A8" s="274">
        <v>2</v>
      </c>
      <c r="B8" s="280" t="s">
        <v>374</v>
      </c>
      <c r="C8" s="276">
        <v>1</v>
      </c>
      <c r="D8" s="276">
        <f>35*2+150</f>
        <v>220</v>
      </c>
      <c r="E8" s="277">
        <f>'[2]PL07-PHUONG TIEN'!E9</f>
        <v>12000</v>
      </c>
      <c r="F8" s="278">
        <f>+D8*E8</f>
        <v>2640000</v>
      </c>
      <c r="G8" s="277">
        <f t="shared" si="0"/>
        <v>2640000</v>
      </c>
    </row>
    <row r="9" spans="1:7" s="279" customFormat="1" ht="22.5" customHeight="1">
      <c r="A9" s="274">
        <v>3</v>
      </c>
      <c r="B9" s="280" t="s">
        <v>380</v>
      </c>
      <c r="C9" s="276">
        <v>1</v>
      </c>
      <c r="D9" s="276">
        <v>50</v>
      </c>
      <c r="E9" s="277">
        <v>12000</v>
      </c>
      <c r="F9" s="278">
        <f aca="true" t="shared" si="1" ref="F9:F15">+D9*E9</f>
        <v>600000</v>
      </c>
      <c r="G9" s="277">
        <f>+F9*C9</f>
        <v>600000</v>
      </c>
    </row>
    <row r="10" spans="1:7" s="279" customFormat="1" ht="22.5" customHeight="1">
      <c r="A10" s="274">
        <v>4</v>
      </c>
      <c r="B10" s="271" t="s">
        <v>376</v>
      </c>
      <c r="C10" s="276">
        <v>1</v>
      </c>
      <c r="D10" s="276">
        <f>7*2+200</f>
        <v>214</v>
      </c>
      <c r="E10" s="277">
        <v>12000</v>
      </c>
      <c r="F10" s="278">
        <f>+D10*E10</f>
        <v>2568000</v>
      </c>
      <c r="G10" s="277">
        <f>+F10*C10</f>
        <v>2568000</v>
      </c>
    </row>
    <row r="11" spans="1:7" s="279" customFormat="1" ht="22.5" customHeight="1">
      <c r="A11" s="274">
        <v>5</v>
      </c>
      <c r="B11" s="280" t="s">
        <v>381</v>
      </c>
      <c r="C11" s="276">
        <v>1</v>
      </c>
      <c r="D11" s="276">
        <f>15*2+50</f>
        <v>80</v>
      </c>
      <c r="E11" s="277">
        <v>12000</v>
      </c>
      <c r="F11" s="278">
        <f t="shared" si="1"/>
        <v>960000</v>
      </c>
      <c r="G11" s="277">
        <f t="shared" si="0"/>
        <v>960000</v>
      </c>
    </row>
    <row r="12" spans="1:7" s="279" customFormat="1" ht="22.5" customHeight="1">
      <c r="A12" s="274">
        <v>6</v>
      </c>
      <c r="B12" s="280" t="s">
        <v>377</v>
      </c>
      <c r="C12" s="276">
        <v>1</v>
      </c>
      <c r="D12" s="276">
        <f>40*2+200</f>
        <v>280</v>
      </c>
      <c r="E12" s="277">
        <f>'[2]PL07-PHUONG TIEN'!E14</f>
        <v>12000</v>
      </c>
      <c r="F12" s="278">
        <f>+D12*E12</f>
        <v>3360000</v>
      </c>
      <c r="G12" s="277">
        <f>+F12*C12</f>
        <v>3360000</v>
      </c>
    </row>
    <row r="13" spans="1:7" s="279" customFormat="1" ht="22.5" customHeight="1">
      <c r="A13" s="274">
        <v>7</v>
      </c>
      <c r="B13" s="280" t="s">
        <v>379</v>
      </c>
      <c r="C13" s="276">
        <v>1</v>
      </c>
      <c r="D13" s="276">
        <f>80*2+300</f>
        <v>460</v>
      </c>
      <c r="E13" s="277">
        <v>12000</v>
      </c>
      <c r="F13" s="278">
        <f>+D13*E13</f>
        <v>5520000</v>
      </c>
      <c r="G13" s="277">
        <f>+F13*C13</f>
        <v>5520000</v>
      </c>
    </row>
    <row r="14" spans="1:7" s="279" customFormat="1" ht="22.5" customHeight="1">
      <c r="A14" s="274">
        <v>8</v>
      </c>
      <c r="B14" s="280" t="s">
        <v>378</v>
      </c>
      <c r="C14" s="276">
        <v>1</v>
      </c>
      <c r="D14" s="276">
        <f>41*2+300</f>
        <v>382</v>
      </c>
      <c r="E14" s="277">
        <v>12000</v>
      </c>
      <c r="F14" s="278">
        <f>+D14*E14</f>
        <v>4584000</v>
      </c>
      <c r="G14" s="277">
        <f>+F14*C14</f>
        <v>4584000</v>
      </c>
    </row>
    <row r="15" spans="1:7" s="279" customFormat="1" ht="22.5" customHeight="1">
      <c r="A15" s="274">
        <v>9</v>
      </c>
      <c r="B15" s="280" t="s">
        <v>375</v>
      </c>
      <c r="C15" s="276">
        <v>1</v>
      </c>
      <c r="D15" s="276">
        <f>12*2+150</f>
        <v>174</v>
      </c>
      <c r="E15" s="277">
        <v>12000</v>
      </c>
      <c r="F15" s="278">
        <f t="shared" si="1"/>
        <v>2088000</v>
      </c>
      <c r="G15" s="277">
        <f t="shared" si="0"/>
        <v>2088000</v>
      </c>
    </row>
    <row r="16" spans="1:7" s="279" customFormat="1" ht="22.5" customHeight="1">
      <c r="A16" s="274">
        <v>10</v>
      </c>
      <c r="B16" s="280" t="s">
        <v>382</v>
      </c>
      <c r="C16" s="276">
        <v>1</v>
      </c>
      <c r="D16" s="281"/>
      <c r="E16" s="277"/>
      <c r="F16" s="278">
        <v>2000000</v>
      </c>
      <c r="G16" s="277">
        <f t="shared" si="0"/>
        <v>2000000</v>
      </c>
    </row>
    <row r="17" spans="1:7" ht="17.25" customHeight="1">
      <c r="A17" s="271"/>
      <c r="B17" s="272" t="s">
        <v>46</v>
      </c>
      <c r="C17" s="273">
        <f>SUM(C7:C16)</f>
        <v>10</v>
      </c>
      <c r="D17" s="271"/>
      <c r="E17" s="271"/>
      <c r="F17" s="271"/>
      <c r="G17" s="273">
        <f>SUM(G7:G16)</f>
        <v>27560000</v>
      </c>
    </row>
  </sheetData>
  <sheetProtection/>
  <mergeCells count="7">
    <mergeCell ref="A1:G1"/>
    <mergeCell ref="A3:G3"/>
    <mergeCell ref="A5:A6"/>
    <mergeCell ref="B5:B6"/>
    <mergeCell ref="C5:C6"/>
    <mergeCell ref="D5:F5"/>
    <mergeCell ref="G5: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9"/>
  <sheetViews>
    <sheetView zoomScalePageLayoutView="0" workbookViewId="0" topLeftCell="A1">
      <selection activeCell="A2" sqref="A2:F2"/>
    </sheetView>
  </sheetViews>
  <sheetFormatPr defaultColWidth="9.140625" defaultRowHeight="15"/>
  <cols>
    <col min="1" max="1" width="5.421875" style="200" customWidth="1"/>
    <col min="2" max="2" width="45.8515625" style="200" customWidth="1"/>
    <col min="3" max="3" width="10.00390625" style="200" customWidth="1"/>
    <col min="4" max="4" width="8.7109375" style="200" customWidth="1"/>
    <col min="5" max="5" width="10.140625" style="200" customWidth="1"/>
    <col min="6" max="6" width="13.140625" style="210" customWidth="1"/>
    <col min="7" max="7" width="0.13671875" style="200" customWidth="1"/>
    <col min="8" max="8" width="9.8515625" style="200" bestFit="1" customWidth="1"/>
    <col min="9" max="9" width="8.8515625" style="200" customWidth="1"/>
    <col min="10" max="10" width="12.7109375" style="200" customWidth="1"/>
    <col min="11" max="16384" width="9.140625" style="200" customWidth="1"/>
  </cols>
  <sheetData>
    <row r="1" spans="1:7" ht="37.5" customHeight="1">
      <c r="A1" s="366" t="s">
        <v>435</v>
      </c>
      <c r="B1" s="366"/>
      <c r="C1" s="366"/>
      <c r="D1" s="366"/>
      <c r="E1" s="366"/>
      <c r="F1" s="366"/>
      <c r="G1" s="267"/>
    </row>
    <row r="2" spans="1:7" ht="37.5" customHeight="1">
      <c r="A2" s="367" t="s">
        <v>507</v>
      </c>
      <c r="B2" s="367"/>
      <c r="C2" s="367"/>
      <c r="D2" s="367"/>
      <c r="E2" s="367"/>
      <c r="F2" s="367"/>
      <c r="G2" s="267"/>
    </row>
    <row r="3" spans="1:7" ht="18.75">
      <c r="A3" s="284"/>
      <c r="B3" s="284"/>
      <c r="C3" s="284"/>
      <c r="D3" s="284"/>
      <c r="E3" s="284"/>
      <c r="F3" s="284"/>
      <c r="G3" s="267"/>
    </row>
    <row r="4" spans="1:7" ht="29.25" customHeight="1">
      <c r="A4" s="256" t="s">
        <v>50</v>
      </c>
      <c r="B4" s="253" t="s">
        <v>356</v>
      </c>
      <c r="C4" s="253" t="s">
        <v>2</v>
      </c>
      <c r="D4" s="253" t="s">
        <v>179</v>
      </c>
      <c r="E4" s="253" t="s">
        <v>57</v>
      </c>
      <c r="F4" s="253" t="s">
        <v>58</v>
      </c>
      <c r="G4" s="265"/>
    </row>
    <row r="5" spans="1:7" s="209" customFormat="1" ht="47.25">
      <c r="A5" s="256">
        <v>1</v>
      </c>
      <c r="B5" s="289" t="s">
        <v>416</v>
      </c>
      <c r="C5" s="253" t="s">
        <v>6</v>
      </c>
      <c r="D5" s="287">
        <f>SUM(D6:D9)</f>
        <v>8</v>
      </c>
      <c r="E5" s="290">
        <f>+'PL 2.1a'!$D$8</f>
        <v>191000</v>
      </c>
      <c r="F5" s="254">
        <f>+D5*E5</f>
        <v>1528000</v>
      </c>
      <c r="G5" s="288"/>
    </row>
    <row r="6" spans="1:7" ht="47.25">
      <c r="A6" s="258"/>
      <c r="B6" s="263" t="s">
        <v>338</v>
      </c>
      <c r="C6" s="266" t="s">
        <v>6</v>
      </c>
      <c r="D6" s="380">
        <f>2*2</f>
        <v>4</v>
      </c>
      <c r="E6" s="383">
        <f>+'PL 2.1a'!$D$8</f>
        <v>191000</v>
      </c>
      <c r="F6" s="386">
        <f>+D6*E6</f>
        <v>764000</v>
      </c>
      <c r="G6" s="264"/>
    </row>
    <row r="7" spans="1:7" ht="47.25">
      <c r="A7" s="258"/>
      <c r="B7" s="263" t="s">
        <v>339</v>
      </c>
      <c r="C7" s="266" t="s">
        <v>6</v>
      </c>
      <c r="D7" s="381"/>
      <c r="E7" s="384"/>
      <c r="F7" s="387"/>
      <c r="G7" s="264"/>
    </row>
    <row r="8" spans="1:7" ht="29.25" customHeight="1">
      <c r="A8" s="258"/>
      <c r="B8" s="263" t="s">
        <v>341</v>
      </c>
      <c r="C8" s="266" t="s">
        <v>6</v>
      </c>
      <c r="D8" s="382"/>
      <c r="E8" s="385"/>
      <c r="F8" s="388"/>
      <c r="G8" s="264"/>
    </row>
    <row r="9" spans="1:7" ht="78.75">
      <c r="A9" s="258"/>
      <c r="B9" s="263" t="s">
        <v>340</v>
      </c>
      <c r="C9" s="266" t="s">
        <v>6</v>
      </c>
      <c r="D9" s="262">
        <f>2*2</f>
        <v>4</v>
      </c>
      <c r="E9" s="291">
        <f>+'PL 2.1a'!$D$8</f>
        <v>191000</v>
      </c>
      <c r="F9" s="292">
        <f>+D9*E9</f>
        <v>764000</v>
      </c>
      <c r="G9" s="264"/>
    </row>
    <row r="10" spans="1:7" s="209" customFormat="1" ht="29.25" customHeight="1">
      <c r="A10" s="256">
        <v>2</v>
      </c>
      <c r="B10" s="286" t="s">
        <v>417</v>
      </c>
      <c r="C10" s="253" t="s">
        <v>6</v>
      </c>
      <c r="D10" s="287">
        <f>SUM(D11:D14)</f>
        <v>8</v>
      </c>
      <c r="E10" s="290">
        <f>+'PL 2.1a'!$D$8</f>
        <v>191000</v>
      </c>
      <c r="F10" s="254">
        <f>+D10*E10</f>
        <v>1528000</v>
      </c>
      <c r="G10" s="288"/>
    </row>
    <row r="11" spans="1:7" ht="47.25">
      <c r="A11" s="258"/>
      <c r="B11" s="263" t="s">
        <v>338</v>
      </c>
      <c r="C11" s="266" t="s">
        <v>6</v>
      </c>
      <c r="D11" s="380">
        <f>2*2</f>
        <v>4</v>
      </c>
      <c r="E11" s="383">
        <f>+'PL 2.1a'!$D$8</f>
        <v>191000</v>
      </c>
      <c r="F11" s="386">
        <f>+D11*E11</f>
        <v>764000</v>
      </c>
      <c r="G11" s="264"/>
    </row>
    <row r="12" spans="1:7" ht="47.25">
      <c r="A12" s="258"/>
      <c r="B12" s="263" t="s">
        <v>339</v>
      </c>
      <c r="C12" s="266" t="s">
        <v>6</v>
      </c>
      <c r="D12" s="381"/>
      <c r="E12" s="384"/>
      <c r="F12" s="387"/>
      <c r="G12" s="264"/>
    </row>
    <row r="13" spans="1:7" ht="29.25" customHeight="1">
      <c r="A13" s="258"/>
      <c r="B13" s="263" t="s">
        <v>341</v>
      </c>
      <c r="C13" s="266" t="s">
        <v>6</v>
      </c>
      <c r="D13" s="382"/>
      <c r="E13" s="385"/>
      <c r="F13" s="388"/>
      <c r="G13" s="264"/>
    </row>
    <row r="14" spans="1:7" ht="78.75">
      <c r="A14" s="258"/>
      <c r="B14" s="263" t="s">
        <v>340</v>
      </c>
      <c r="C14" s="266" t="s">
        <v>6</v>
      </c>
      <c r="D14" s="262">
        <f>2*2</f>
        <v>4</v>
      </c>
      <c r="E14" s="291">
        <f>+'PL 2.1a'!$D$8</f>
        <v>191000</v>
      </c>
      <c r="F14" s="292">
        <f>+D14*E14</f>
        <v>764000</v>
      </c>
      <c r="G14" s="264"/>
    </row>
    <row r="15" spans="1:7" s="209" customFormat="1" ht="29.25" customHeight="1">
      <c r="A15" s="256">
        <v>3</v>
      </c>
      <c r="B15" s="286" t="s">
        <v>418</v>
      </c>
      <c r="C15" s="253" t="s">
        <v>6</v>
      </c>
      <c r="D15" s="287">
        <f>SUM(D16:D19)</f>
        <v>8</v>
      </c>
      <c r="E15" s="290">
        <f>+'PL 2.1a'!$D$8</f>
        <v>191000</v>
      </c>
      <c r="F15" s="254">
        <f>+D15*E15</f>
        <v>1528000</v>
      </c>
      <c r="G15" s="288"/>
    </row>
    <row r="16" spans="1:7" ht="47.25">
      <c r="A16" s="258"/>
      <c r="B16" s="263" t="s">
        <v>338</v>
      </c>
      <c r="C16" s="266" t="s">
        <v>6</v>
      </c>
      <c r="D16" s="380">
        <f>2*2</f>
        <v>4</v>
      </c>
      <c r="E16" s="383">
        <f>+'PL 2.1a'!$D$8</f>
        <v>191000</v>
      </c>
      <c r="F16" s="386">
        <f>+D16*E16</f>
        <v>764000</v>
      </c>
      <c r="G16" s="264"/>
    </row>
    <row r="17" spans="1:7" ht="47.25">
      <c r="A17" s="258"/>
      <c r="B17" s="263" t="s">
        <v>339</v>
      </c>
      <c r="C17" s="266" t="s">
        <v>6</v>
      </c>
      <c r="D17" s="381"/>
      <c r="E17" s="384"/>
      <c r="F17" s="387"/>
      <c r="G17" s="264"/>
    </row>
    <row r="18" spans="1:7" ht="29.25" customHeight="1">
      <c r="A18" s="258"/>
      <c r="B18" s="263" t="s">
        <v>341</v>
      </c>
      <c r="C18" s="266" t="s">
        <v>6</v>
      </c>
      <c r="D18" s="382"/>
      <c r="E18" s="385"/>
      <c r="F18" s="388"/>
      <c r="G18" s="264"/>
    </row>
    <row r="19" spans="1:7" ht="78.75">
      <c r="A19" s="258"/>
      <c r="B19" s="263" t="s">
        <v>340</v>
      </c>
      <c r="C19" s="266" t="s">
        <v>6</v>
      </c>
      <c r="D19" s="262">
        <f>2*2</f>
        <v>4</v>
      </c>
      <c r="E19" s="291">
        <f>+'PL 2.1a'!$D$8</f>
        <v>191000</v>
      </c>
      <c r="F19" s="292">
        <f>+D19*E19</f>
        <v>764000</v>
      </c>
      <c r="G19" s="264"/>
    </row>
    <row r="20" spans="1:7" s="209" customFormat="1" ht="29.25" customHeight="1">
      <c r="A20" s="256">
        <v>4</v>
      </c>
      <c r="B20" s="286" t="s">
        <v>419</v>
      </c>
      <c r="C20" s="253" t="s">
        <v>6</v>
      </c>
      <c r="D20" s="287">
        <f>SUM(D21:D24)</f>
        <v>8</v>
      </c>
      <c r="E20" s="290">
        <f>+'PL 2.1a'!$D$8</f>
        <v>191000</v>
      </c>
      <c r="F20" s="254">
        <f>+D20*E20</f>
        <v>1528000</v>
      </c>
      <c r="G20" s="288"/>
    </row>
    <row r="21" spans="1:7" ht="47.25">
      <c r="A21" s="258"/>
      <c r="B21" s="263" t="s">
        <v>338</v>
      </c>
      <c r="C21" s="266" t="s">
        <v>6</v>
      </c>
      <c r="D21" s="380">
        <f>2*2</f>
        <v>4</v>
      </c>
      <c r="E21" s="383">
        <f>+'PL 2.1a'!$D$8</f>
        <v>191000</v>
      </c>
      <c r="F21" s="386">
        <f>+D21*E21</f>
        <v>764000</v>
      </c>
      <c r="G21" s="264"/>
    </row>
    <row r="22" spans="1:7" ht="47.25">
      <c r="A22" s="258"/>
      <c r="B22" s="263" t="s">
        <v>339</v>
      </c>
      <c r="C22" s="266" t="s">
        <v>6</v>
      </c>
      <c r="D22" s="381"/>
      <c r="E22" s="384"/>
      <c r="F22" s="387"/>
      <c r="G22" s="264"/>
    </row>
    <row r="23" spans="1:7" ht="29.25" customHeight="1">
      <c r="A23" s="258"/>
      <c r="B23" s="263" t="s">
        <v>341</v>
      </c>
      <c r="C23" s="266" t="s">
        <v>6</v>
      </c>
      <c r="D23" s="382"/>
      <c r="E23" s="385"/>
      <c r="F23" s="388"/>
      <c r="G23" s="264"/>
    </row>
    <row r="24" spans="1:7" ht="78.75">
      <c r="A24" s="258"/>
      <c r="B24" s="263" t="s">
        <v>340</v>
      </c>
      <c r="C24" s="266" t="s">
        <v>6</v>
      </c>
      <c r="D24" s="262">
        <f>2*2</f>
        <v>4</v>
      </c>
      <c r="E24" s="291">
        <f>+'PL 2.1a'!$D$8</f>
        <v>191000</v>
      </c>
      <c r="F24" s="292">
        <f>+D24*E24</f>
        <v>764000</v>
      </c>
      <c r="G24" s="264"/>
    </row>
    <row r="25" spans="1:7" s="209" customFormat="1" ht="29.25" customHeight="1">
      <c r="A25" s="256">
        <v>5</v>
      </c>
      <c r="B25" s="286" t="s">
        <v>420</v>
      </c>
      <c r="C25" s="253" t="s">
        <v>6</v>
      </c>
      <c r="D25" s="287">
        <f>SUM(D26:D29)</f>
        <v>8</v>
      </c>
      <c r="E25" s="291">
        <f>+'PL 2.1a'!$D$8</f>
        <v>191000</v>
      </c>
      <c r="F25" s="254">
        <f>+D25*E25</f>
        <v>1528000</v>
      </c>
      <c r="G25" s="288"/>
    </row>
    <row r="26" spans="1:7" ht="47.25">
      <c r="A26" s="258"/>
      <c r="B26" s="263" t="s">
        <v>338</v>
      </c>
      <c r="C26" s="266" t="s">
        <v>6</v>
      </c>
      <c r="D26" s="380">
        <f>2*2</f>
        <v>4</v>
      </c>
      <c r="E26" s="383">
        <f>+'PL 2.1a'!$D$8</f>
        <v>191000</v>
      </c>
      <c r="F26" s="386">
        <f>+D26*E26</f>
        <v>764000</v>
      </c>
      <c r="G26" s="264"/>
    </row>
    <row r="27" spans="1:7" ht="47.25">
      <c r="A27" s="258"/>
      <c r="B27" s="263" t="s">
        <v>339</v>
      </c>
      <c r="C27" s="266" t="s">
        <v>6</v>
      </c>
      <c r="D27" s="381"/>
      <c r="E27" s="384"/>
      <c r="F27" s="387"/>
      <c r="G27" s="264"/>
    </row>
    <row r="28" spans="1:7" ht="29.25" customHeight="1">
      <c r="A28" s="258"/>
      <c r="B28" s="263" t="s">
        <v>341</v>
      </c>
      <c r="C28" s="266" t="s">
        <v>6</v>
      </c>
      <c r="D28" s="382"/>
      <c r="E28" s="385"/>
      <c r="F28" s="388"/>
      <c r="G28" s="264"/>
    </row>
    <row r="29" spans="1:7" ht="78.75">
      <c r="A29" s="258"/>
      <c r="B29" s="263" t="s">
        <v>340</v>
      </c>
      <c r="C29" s="266" t="s">
        <v>6</v>
      </c>
      <c r="D29" s="262">
        <f>2*2</f>
        <v>4</v>
      </c>
      <c r="E29" s="291">
        <f>+'PL 2.1a'!$D$8</f>
        <v>191000</v>
      </c>
      <c r="F29" s="292">
        <f>+D29*E29</f>
        <v>764000</v>
      </c>
      <c r="G29" s="264"/>
    </row>
    <row r="30" spans="1:7" s="209" customFormat="1" ht="29.25" customHeight="1">
      <c r="A30" s="256">
        <v>6</v>
      </c>
      <c r="B30" s="286" t="s">
        <v>421</v>
      </c>
      <c r="C30" s="253" t="s">
        <v>6</v>
      </c>
      <c r="D30" s="287">
        <f>SUM(D31:D34)</f>
        <v>8</v>
      </c>
      <c r="E30" s="290">
        <f>+'PL 2.1a'!$D$8</f>
        <v>191000</v>
      </c>
      <c r="F30" s="254">
        <f>+D30*E30</f>
        <v>1528000</v>
      </c>
      <c r="G30" s="288"/>
    </row>
    <row r="31" spans="1:7" ht="47.25">
      <c r="A31" s="258"/>
      <c r="B31" s="263" t="s">
        <v>338</v>
      </c>
      <c r="C31" s="266" t="s">
        <v>6</v>
      </c>
      <c r="D31" s="380">
        <f>2*2</f>
        <v>4</v>
      </c>
      <c r="E31" s="383">
        <f>+'PL 2.1a'!$D$8</f>
        <v>191000</v>
      </c>
      <c r="F31" s="386">
        <f>+D31*E31</f>
        <v>764000</v>
      </c>
      <c r="G31" s="264"/>
    </row>
    <row r="32" spans="1:7" ht="47.25">
      <c r="A32" s="258"/>
      <c r="B32" s="263" t="s">
        <v>339</v>
      </c>
      <c r="C32" s="266" t="s">
        <v>6</v>
      </c>
      <c r="D32" s="381"/>
      <c r="E32" s="384"/>
      <c r="F32" s="387"/>
      <c r="G32" s="264"/>
    </row>
    <row r="33" spans="1:7" ht="29.25" customHeight="1">
      <c r="A33" s="258"/>
      <c r="B33" s="263" t="s">
        <v>341</v>
      </c>
      <c r="C33" s="266" t="s">
        <v>6</v>
      </c>
      <c r="D33" s="382"/>
      <c r="E33" s="385"/>
      <c r="F33" s="388"/>
      <c r="G33" s="264"/>
    </row>
    <row r="34" spans="1:7" ht="78.75">
      <c r="A34" s="258"/>
      <c r="B34" s="263" t="s">
        <v>340</v>
      </c>
      <c r="C34" s="266" t="s">
        <v>6</v>
      </c>
      <c r="D34" s="262">
        <f>2*2</f>
        <v>4</v>
      </c>
      <c r="E34" s="291">
        <f>+'PL 2.1a'!$D$8</f>
        <v>191000</v>
      </c>
      <c r="F34" s="292">
        <f>+D34*E34</f>
        <v>764000</v>
      </c>
      <c r="G34" s="264"/>
    </row>
    <row r="35" spans="1:7" s="209" customFormat="1" ht="29.25" customHeight="1">
      <c r="A35" s="256">
        <v>7</v>
      </c>
      <c r="B35" s="286" t="s">
        <v>422</v>
      </c>
      <c r="C35" s="253" t="s">
        <v>6</v>
      </c>
      <c r="D35" s="287">
        <f>SUM(D36:D39)</f>
        <v>8</v>
      </c>
      <c r="E35" s="290">
        <f>+'PL 2.1a'!$D$8</f>
        <v>191000</v>
      </c>
      <c r="F35" s="254">
        <f>+D35*E35</f>
        <v>1528000</v>
      </c>
      <c r="G35" s="288"/>
    </row>
    <row r="36" spans="1:7" ht="47.25">
      <c r="A36" s="258"/>
      <c r="B36" s="263" t="s">
        <v>338</v>
      </c>
      <c r="C36" s="266" t="s">
        <v>6</v>
      </c>
      <c r="D36" s="380">
        <f>2*2</f>
        <v>4</v>
      </c>
      <c r="E36" s="383">
        <f>+'PL 2.1a'!$D$8</f>
        <v>191000</v>
      </c>
      <c r="F36" s="386">
        <f>+D36*E36</f>
        <v>764000</v>
      </c>
      <c r="G36" s="264"/>
    </row>
    <row r="37" spans="1:7" ht="47.25">
      <c r="A37" s="258"/>
      <c r="B37" s="263" t="s">
        <v>339</v>
      </c>
      <c r="C37" s="266" t="s">
        <v>6</v>
      </c>
      <c r="D37" s="381"/>
      <c r="E37" s="384"/>
      <c r="F37" s="387"/>
      <c r="G37" s="264"/>
    </row>
    <row r="38" spans="1:7" ht="29.25" customHeight="1">
      <c r="A38" s="258"/>
      <c r="B38" s="263" t="s">
        <v>341</v>
      </c>
      <c r="C38" s="266" t="s">
        <v>6</v>
      </c>
      <c r="D38" s="382"/>
      <c r="E38" s="385"/>
      <c r="F38" s="388"/>
      <c r="G38" s="264"/>
    </row>
    <row r="39" spans="1:7" ht="78.75">
      <c r="A39" s="258"/>
      <c r="B39" s="263" t="s">
        <v>340</v>
      </c>
      <c r="C39" s="266" t="s">
        <v>6</v>
      </c>
      <c r="D39" s="262">
        <f>2*2</f>
        <v>4</v>
      </c>
      <c r="E39" s="291">
        <f>+'PL 2.1a'!$D$8</f>
        <v>191000</v>
      </c>
      <c r="F39" s="292">
        <f>+D39*E39</f>
        <v>764000</v>
      </c>
      <c r="G39" s="264"/>
    </row>
    <row r="40" spans="1:7" s="209" customFormat="1" ht="29.25" customHeight="1">
      <c r="A40" s="256">
        <v>8</v>
      </c>
      <c r="B40" s="286" t="s">
        <v>423</v>
      </c>
      <c r="C40" s="253" t="s">
        <v>6</v>
      </c>
      <c r="D40" s="287">
        <f>SUM(D41:D44)</f>
        <v>8</v>
      </c>
      <c r="E40" s="290">
        <f>+'PL 2.1a'!$D$8</f>
        <v>191000</v>
      </c>
      <c r="F40" s="254">
        <f>+D40*E40</f>
        <v>1528000</v>
      </c>
      <c r="G40" s="288"/>
    </row>
    <row r="41" spans="1:7" ht="47.25">
      <c r="A41" s="258"/>
      <c r="B41" s="263" t="s">
        <v>338</v>
      </c>
      <c r="C41" s="266" t="s">
        <v>6</v>
      </c>
      <c r="D41" s="380">
        <f>2*2</f>
        <v>4</v>
      </c>
      <c r="E41" s="383">
        <f>+'PL 2.1a'!$D$8</f>
        <v>191000</v>
      </c>
      <c r="F41" s="386">
        <f>+D41*E41</f>
        <v>764000</v>
      </c>
      <c r="G41" s="264"/>
    </row>
    <row r="42" spans="1:7" ht="47.25">
      <c r="A42" s="258"/>
      <c r="B42" s="263" t="s">
        <v>339</v>
      </c>
      <c r="C42" s="266" t="s">
        <v>6</v>
      </c>
      <c r="D42" s="381"/>
      <c r="E42" s="384"/>
      <c r="F42" s="387"/>
      <c r="G42" s="264"/>
    </row>
    <row r="43" spans="1:7" ht="29.25" customHeight="1">
      <c r="A43" s="258"/>
      <c r="B43" s="263" t="s">
        <v>341</v>
      </c>
      <c r="C43" s="266" t="s">
        <v>6</v>
      </c>
      <c r="D43" s="382"/>
      <c r="E43" s="385"/>
      <c r="F43" s="388"/>
      <c r="G43" s="264"/>
    </row>
    <row r="44" spans="1:7" ht="78.75">
      <c r="A44" s="258"/>
      <c r="B44" s="263" t="s">
        <v>340</v>
      </c>
      <c r="C44" s="266" t="s">
        <v>6</v>
      </c>
      <c r="D44" s="262">
        <f>2*2</f>
        <v>4</v>
      </c>
      <c r="E44" s="291">
        <f>+'PL 2.1a'!$D$8</f>
        <v>191000</v>
      </c>
      <c r="F44" s="292">
        <f>+D44*E44</f>
        <v>764000</v>
      </c>
      <c r="G44" s="264"/>
    </row>
    <row r="45" spans="1:7" s="209" customFormat="1" ht="29.25" customHeight="1">
      <c r="A45" s="256">
        <v>9</v>
      </c>
      <c r="B45" s="286" t="s">
        <v>424</v>
      </c>
      <c r="C45" s="253" t="s">
        <v>6</v>
      </c>
      <c r="D45" s="287">
        <f>SUM(D46:D49)</f>
        <v>8</v>
      </c>
      <c r="E45" s="290">
        <f>+'PL 2.1a'!$D$8</f>
        <v>191000</v>
      </c>
      <c r="F45" s="254">
        <f>+D45*E45</f>
        <v>1528000</v>
      </c>
      <c r="G45" s="288"/>
    </row>
    <row r="46" spans="1:7" ht="47.25">
      <c r="A46" s="258"/>
      <c r="B46" s="263" t="s">
        <v>338</v>
      </c>
      <c r="C46" s="266" t="s">
        <v>6</v>
      </c>
      <c r="D46" s="380">
        <f>2*2</f>
        <v>4</v>
      </c>
      <c r="E46" s="383">
        <f>+'PL 2.1a'!$D$8</f>
        <v>191000</v>
      </c>
      <c r="F46" s="386">
        <f>+D46*E46</f>
        <v>764000</v>
      </c>
      <c r="G46" s="264"/>
    </row>
    <row r="47" spans="1:7" ht="47.25">
      <c r="A47" s="258"/>
      <c r="B47" s="263" t="s">
        <v>339</v>
      </c>
      <c r="C47" s="266" t="s">
        <v>6</v>
      </c>
      <c r="D47" s="381"/>
      <c r="E47" s="384"/>
      <c r="F47" s="387"/>
      <c r="G47" s="264"/>
    </row>
    <row r="48" spans="1:7" ht="29.25" customHeight="1">
      <c r="A48" s="258"/>
      <c r="B48" s="263" t="s">
        <v>341</v>
      </c>
      <c r="C48" s="266" t="s">
        <v>6</v>
      </c>
      <c r="D48" s="382"/>
      <c r="E48" s="385"/>
      <c r="F48" s="388"/>
      <c r="G48" s="264"/>
    </row>
    <row r="49" spans="1:7" ht="78.75">
      <c r="A49" s="258"/>
      <c r="B49" s="263" t="s">
        <v>340</v>
      </c>
      <c r="C49" s="266" t="s">
        <v>6</v>
      </c>
      <c r="D49" s="262">
        <f>2*2</f>
        <v>4</v>
      </c>
      <c r="E49" s="291">
        <f>+'PL 2.1a'!$D$8</f>
        <v>191000</v>
      </c>
      <c r="F49" s="292">
        <f>+D49*E49</f>
        <v>764000</v>
      </c>
      <c r="G49" s="264"/>
    </row>
    <row r="50" spans="1:7" s="209" customFormat="1" ht="29.25" customHeight="1">
      <c r="A50" s="256">
        <v>10</v>
      </c>
      <c r="B50" s="286" t="s">
        <v>425</v>
      </c>
      <c r="C50" s="253" t="s">
        <v>6</v>
      </c>
      <c r="D50" s="287">
        <f>SUM(D51:D54)</f>
        <v>4</v>
      </c>
      <c r="E50" s="290">
        <f>+'PL 2.1a'!$D$8</f>
        <v>191000</v>
      </c>
      <c r="F50" s="254">
        <f>+D50*E50</f>
        <v>764000</v>
      </c>
      <c r="G50" s="288"/>
    </row>
    <row r="51" spans="1:7" ht="47.25">
      <c r="A51" s="258"/>
      <c r="B51" s="263" t="s">
        <v>338</v>
      </c>
      <c r="C51" s="266" t="s">
        <v>6</v>
      </c>
      <c r="D51" s="380">
        <f>2*1</f>
        <v>2</v>
      </c>
      <c r="E51" s="383">
        <f>+'PL 2.1a'!$D$8</f>
        <v>191000</v>
      </c>
      <c r="F51" s="386">
        <f>+D51*E51</f>
        <v>382000</v>
      </c>
      <c r="G51" s="264"/>
    </row>
    <row r="52" spans="1:7" ht="47.25">
      <c r="A52" s="258"/>
      <c r="B52" s="263" t="s">
        <v>339</v>
      </c>
      <c r="C52" s="266" t="s">
        <v>6</v>
      </c>
      <c r="D52" s="381"/>
      <c r="E52" s="384"/>
      <c r="F52" s="387"/>
      <c r="G52" s="264"/>
    </row>
    <row r="53" spans="1:10" ht="29.25" customHeight="1">
      <c r="A53" s="258"/>
      <c r="B53" s="263" t="s">
        <v>341</v>
      </c>
      <c r="C53" s="266" t="s">
        <v>6</v>
      </c>
      <c r="D53" s="382"/>
      <c r="E53" s="385"/>
      <c r="F53" s="388"/>
      <c r="G53" s="264"/>
      <c r="J53" s="200">
        <f>76/4</f>
        <v>19</v>
      </c>
    </row>
    <row r="54" spans="1:7" ht="78.75">
      <c r="A54" s="258"/>
      <c r="B54" s="263" t="s">
        <v>340</v>
      </c>
      <c r="C54" s="266" t="s">
        <v>6</v>
      </c>
      <c r="D54" s="262">
        <f>2*1</f>
        <v>2</v>
      </c>
      <c r="E54" s="291">
        <f>+'PL 2.1a'!$D$8</f>
        <v>191000</v>
      </c>
      <c r="F54" s="292">
        <f>+D54*E54</f>
        <v>382000</v>
      </c>
      <c r="G54" s="264"/>
    </row>
    <row r="55" spans="1:7" ht="29.25" customHeight="1">
      <c r="A55" s="372" t="s">
        <v>360</v>
      </c>
      <c r="B55" s="373"/>
      <c r="C55" s="374"/>
      <c r="D55" s="287">
        <f>SUM(D5:D54)/2</f>
        <v>76</v>
      </c>
      <c r="E55" s="290">
        <f>+'PL 2.1a'!$D$8</f>
        <v>191000</v>
      </c>
      <c r="F55" s="254">
        <f>+D55*E55</f>
        <v>14516000</v>
      </c>
      <c r="G55" s="264"/>
    </row>
    <row r="57" ht="18.75">
      <c r="B57" s="293" t="s">
        <v>457</v>
      </c>
    </row>
    <row r="58" ht="18.75">
      <c r="B58" s="318" t="s">
        <v>458</v>
      </c>
    </row>
    <row r="59" ht="18.75">
      <c r="B59" s="318" t="s">
        <v>501</v>
      </c>
    </row>
  </sheetData>
  <sheetProtection/>
  <mergeCells count="33">
    <mergeCell ref="A1:F1"/>
    <mergeCell ref="A55:C55"/>
    <mergeCell ref="A2:F2"/>
    <mergeCell ref="D6:D8"/>
    <mergeCell ref="E6:E8"/>
    <mergeCell ref="F6:F8"/>
    <mergeCell ref="D11:D13"/>
    <mergeCell ref="E11:E13"/>
    <mergeCell ref="F11:F13"/>
    <mergeCell ref="D16:D18"/>
    <mergeCell ref="E16:E18"/>
    <mergeCell ref="F16:F18"/>
    <mergeCell ref="D21:D23"/>
    <mergeCell ref="E21:E23"/>
    <mergeCell ref="F21:F23"/>
    <mergeCell ref="D26:D28"/>
    <mergeCell ref="E26:E28"/>
    <mergeCell ref="F26:F28"/>
    <mergeCell ref="D31:D33"/>
    <mergeCell ref="E31:E33"/>
    <mergeCell ref="F31:F33"/>
    <mergeCell ref="D36:D38"/>
    <mergeCell ref="E36:E38"/>
    <mergeCell ref="F36:F38"/>
    <mergeCell ref="D51:D53"/>
    <mergeCell ref="E51:E53"/>
    <mergeCell ref="F51:F53"/>
    <mergeCell ref="D41:D43"/>
    <mergeCell ref="E41:E43"/>
    <mergeCell ref="F41:F43"/>
    <mergeCell ref="D46:D48"/>
    <mergeCell ref="E46:E48"/>
    <mergeCell ref="F46:F48"/>
  </mergeCells>
  <printOptions/>
  <pageMargins left="0.45" right="0.4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E2"/>
    </sheetView>
  </sheetViews>
  <sheetFormatPr defaultColWidth="9.140625" defaultRowHeight="15"/>
  <cols>
    <col min="1" max="1" width="5.421875" style="200" customWidth="1"/>
    <col min="2" max="2" width="51.28125" style="200" customWidth="1"/>
    <col min="3" max="3" width="11.57421875" style="200" bestFit="1" customWidth="1"/>
    <col min="4" max="4" width="11.421875" style="200" customWidth="1"/>
    <col min="5" max="5" width="13.7109375" style="200" customWidth="1"/>
    <col min="6" max="6" width="37.28125" style="308" customWidth="1"/>
    <col min="7" max="7" width="9.8515625" style="200" bestFit="1" customWidth="1"/>
    <col min="8" max="8" width="8.8515625" style="200" customWidth="1"/>
    <col min="9" max="9" width="12.7109375" style="200" customWidth="1"/>
    <col min="10" max="16384" width="9.140625" style="200" customWidth="1"/>
  </cols>
  <sheetData>
    <row r="1" spans="1:6" ht="37.5" customHeight="1">
      <c r="A1" s="366" t="s">
        <v>460</v>
      </c>
      <c r="B1" s="366"/>
      <c r="C1" s="366"/>
      <c r="D1" s="366"/>
      <c r="E1" s="366"/>
      <c r="F1" s="306"/>
    </row>
    <row r="2" spans="1:6" ht="37.5" customHeight="1">
      <c r="A2" s="370" t="s">
        <v>508</v>
      </c>
      <c r="B2" s="370"/>
      <c r="C2" s="370"/>
      <c r="D2" s="370"/>
      <c r="E2" s="370"/>
      <c r="F2" s="306"/>
    </row>
    <row r="3" spans="1:6" ht="18.75">
      <c r="A3" s="319"/>
      <c r="B3" s="319"/>
      <c r="C3" s="319"/>
      <c r="D3" s="319"/>
      <c r="E3" s="319"/>
      <c r="F3" s="306"/>
    </row>
    <row r="4" spans="1:6" ht="31.5">
      <c r="A4" s="256" t="s">
        <v>50</v>
      </c>
      <c r="B4" s="253" t="s">
        <v>356</v>
      </c>
      <c r="C4" s="304" t="s">
        <v>438</v>
      </c>
      <c r="D4" s="253" t="s">
        <v>362</v>
      </c>
      <c r="E4" s="304" t="s">
        <v>446</v>
      </c>
      <c r="F4" s="265"/>
    </row>
    <row r="5" spans="1:6" s="209" customFormat="1" ht="47.25">
      <c r="A5" s="256">
        <v>1</v>
      </c>
      <c r="B5" s="289" t="s">
        <v>447</v>
      </c>
      <c r="C5" s="253"/>
      <c r="D5" s="287">
        <f>SUM(D6:D9)</f>
        <v>4</v>
      </c>
      <c r="E5" s="287">
        <f>SUM(E6:E9)</f>
        <v>8</v>
      </c>
      <c r="F5" s="288"/>
    </row>
    <row r="6" spans="1:7" ht="47.25">
      <c r="A6" s="258" t="s">
        <v>441</v>
      </c>
      <c r="B6" s="263" t="s">
        <v>338</v>
      </c>
      <c r="C6" s="389">
        <v>2</v>
      </c>
      <c r="D6" s="380">
        <v>2</v>
      </c>
      <c r="E6" s="380">
        <f>+C6*D6</f>
        <v>4</v>
      </c>
      <c r="F6" s="392"/>
      <c r="G6" s="305"/>
    </row>
    <row r="7" spans="1:7" ht="47.25">
      <c r="A7" s="258" t="s">
        <v>442</v>
      </c>
      <c r="B7" s="263" t="s">
        <v>339</v>
      </c>
      <c r="C7" s="390"/>
      <c r="D7" s="381"/>
      <c r="E7" s="381"/>
      <c r="F7" s="392"/>
      <c r="G7" s="305"/>
    </row>
    <row r="8" spans="1:7" ht="29.25" customHeight="1">
      <c r="A8" s="258" t="s">
        <v>443</v>
      </c>
      <c r="B8" s="263" t="s">
        <v>341</v>
      </c>
      <c r="C8" s="391"/>
      <c r="D8" s="382"/>
      <c r="E8" s="382"/>
      <c r="F8" s="392"/>
      <c r="G8" s="305"/>
    </row>
    <row r="9" spans="1:7" ht="78.75">
      <c r="A9" s="258" t="s">
        <v>444</v>
      </c>
      <c r="B9" s="263" t="s">
        <v>340</v>
      </c>
      <c r="C9" s="266">
        <v>2</v>
      </c>
      <c r="D9" s="262">
        <v>2</v>
      </c>
      <c r="E9" s="262">
        <f>+C9*D9</f>
        <v>4</v>
      </c>
      <c r="F9" s="307"/>
      <c r="G9" s="305"/>
    </row>
    <row r="10" spans="1:6" s="209" customFormat="1" ht="29.25" customHeight="1">
      <c r="A10" s="256">
        <v>2</v>
      </c>
      <c r="B10" s="286" t="s">
        <v>448</v>
      </c>
      <c r="C10" s="253"/>
      <c r="D10" s="287">
        <f>SUM(D11:D14)</f>
        <v>4</v>
      </c>
      <c r="E10" s="287">
        <f>SUM(E11:E14)</f>
        <v>8</v>
      </c>
      <c r="F10" s="288"/>
    </row>
    <row r="11" spans="1:7" ht="47.25">
      <c r="A11" s="258" t="s">
        <v>461</v>
      </c>
      <c r="B11" s="263" t="s">
        <v>338</v>
      </c>
      <c r="C11" s="389">
        <v>2</v>
      </c>
      <c r="D11" s="380">
        <v>2</v>
      </c>
      <c r="E11" s="380">
        <f>+C11*D11</f>
        <v>4</v>
      </c>
      <c r="F11" s="392"/>
      <c r="G11" s="305"/>
    </row>
    <row r="12" spans="1:7" ht="47.25">
      <c r="A12" s="258" t="s">
        <v>462</v>
      </c>
      <c r="B12" s="263" t="s">
        <v>339</v>
      </c>
      <c r="C12" s="390"/>
      <c r="D12" s="381"/>
      <c r="E12" s="381"/>
      <c r="F12" s="392"/>
      <c r="G12" s="305"/>
    </row>
    <row r="13" spans="1:7" ht="29.25" customHeight="1">
      <c r="A13" s="258" t="s">
        <v>463</v>
      </c>
      <c r="B13" s="263" t="s">
        <v>341</v>
      </c>
      <c r="C13" s="391"/>
      <c r="D13" s="382"/>
      <c r="E13" s="382"/>
      <c r="F13" s="392"/>
      <c r="G13" s="305"/>
    </row>
    <row r="14" spans="1:7" ht="78.75">
      <c r="A14" s="258" t="s">
        <v>464</v>
      </c>
      <c r="B14" s="263" t="s">
        <v>340</v>
      </c>
      <c r="C14" s="266">
        <v>2</v>
      </c>
      <c r="D14" s="262">
        <v>2</v>
      </c>
      <c r="E14" s="262">
        <f>+C14*D14</f>
        <v>4</v>
      </c>
      <c r="F14" s="307"/>
      <c r="G14" s="305"/>
    </row>
    <row r="15" spans="1:6" s="209" customFormat="1" ht="29.25" customHeight="1">
      <c r="A15" s="256">
        <v>3</v>
      </c>
      <c r="B15" s="286" t="s">
        <v>449</v>
      </c>
      <c r="C15" s="253"/>
      <c r="D15" s="287">
        <f>SUM(D16:D19)</f>
        <v>4</v>
      </c>
      <c r="E15" s="287">
        <f>SUM(E16:E19)</f>
        <v>8</v>
      </c>
      <c r="F15" s="288"/>
    </row>
    <row r="16" spans="1:7" ht="47.25">
      <c r="A16" s="258" t="s">
        <v>465</v>
      </c>
      <c r="B16" s="263" t="s">
        <v>338</v>
      </c>
      <c r="C16" s="389">
        <v>2</v>
      </c>
      <c r="D16" s="380">
        <v>2</v>
      </c>
      <c r="E16" s="380">
        <f>+C16*D16</f>
        <v>4</v>
      </c>
      <c r="F16" s="392"/>
      <c r="G16" s="305"/>
    </row>
    <row r="17" spans="1:7" ht="47.25">
      <c r="A17" s="258" t="s">
        <v>466</v>
      </c>
      <c r="B17" s="263" t="s">
        <v>339</v>
      </c>
      <c r="C17" s="390"/>
      <c r="D17" s="381"/>
      <c r="E17" s="381"/>
      <c r="F17" s="392"/>
      <c r="G17" s="305"/>
    </row>
    <row r="18" spans="1:7" ht="29.25" customHeight="1">
      <c r="A18" s="258" t="s">
        <v>467</v>
      </c>
      <c r="B18" s="263" t="s">
        <v>341</v>
      </c>
      <c r="C18" s="391"/>
      <c r="D18" s="382"/>
      <c r="E18" s="382"/>
      <c r="F18" s="392"/>
      <c r="G18" s="305"/>
    </row>
    <row r="19" spans="1:7" ht="78.75">
      <c r="A19" s="258" t="s">
        <v>468</v>
      </c>
      <c r="B19" s="263" t="s">
        <v>340</v>
      </c>
      <c r="C19" s="266">
        <v>2</v>
      </c>
      <c r="D19" s="262">
        <v>2</v>
      </c>
      <c r="E19" s="262">
        <f>+C19*D19</f>
        <v>4</v>
      </c>
      <c r="F19" s="307"/>
      <c r="G19" s="305"/>
    </row>
    <row r="20" spans="1:6" s="209" customFormat="1" ht="29.25" customHeight="1">
      <c r="A20" s="256">
        <v>4</v>
      </c>
      <c r="B20" s="286" t="s">
        <v>450</v>
      </c>
      <c r="C20" s="253"/>
      <c r="D20" s="287">
        <f>SUM(D21:D24)</f>
        <v>4</v>
      </c>
      <c r="E20" s="287">
        <f>SUM(E21:E24)</f>
        <v>8</v>
      </c>
      <c r="F20" s="288"/>
    </row>
    <row r="21" spans="1:7" ht="47.25">
      <c r="A21" s="258" t="s">
        <v>469</v>
      </c>
      <c r="B21" s="263" t="s">
        <v>338</v>
      </c>
      <c r="C21" s="389">
        <v>2</v>
      </c>
      <c r="D21" s="380">
        <v>2</v>
      </c>
      <c r="E21" s="380">
        <f>+C21*D21</f>
        <v>4</v>
      </c>
      <c r="F21" s="392"/>
      <c r="G21" s="305"/>
    </row>
    <row r="22" spans="1:7" ht="47.25">
      <c r="A22" s="258" t="s">
        <v>470</v>
      </c>
      <c r="B22" s="263" t="s">
        <v>339</v>
      </c>
      <c r="C22" s="390"/>
      <c r="D22" s="381"/>
      <c r="E22" s="381"/>
      <c r="F22" s="392"/>
      <c r="G22" s="305"/>
    </row>
    <row r="23" spans="1:7" ht="29.25" customHeight="1">
      <c r="A23" s="258" t="s">
        <v>471</v>
      </c>
      <c r="B23" s="263" t="s">
        <v>341</v>
      </c>
      <c r="C23" s="391"/>
      <c r="D23" s="382"/>
      <c r="E23" s="382"/>
      <c r="F23" s="392"/>
      <c r="G23" s="305"/>
    </row>
    <row r="24" spans="1:7" ht="78.75">
      <c r="A24" s="258" t="s">
        <v>472</v>
      </c>
      <c r="B24" s="263" t="s">
        <v>340</v>
      </c>
      <c r="C24" s="266">
        <v>2</v>
      </c>
      <c r="D24" s="262">
        <v>2</v>
      </c>
      <c r="E24" s="262">
        <f>+C24*D24</f>
        <v>4</v>
      </c>
      <c r="F24" s="307"/>
      <c r="G24" s="305"/>
    </row>
    <row r="25" spans="1:6" s="209" customFormat="1" ht="29.25" customHeight="1">
      <c r="A25" s="256">
        <v>5</v>
      </c>
      <c r="B25" s="286" t="s">
        <v>451</v>
      </c>
      <c r="C25" s="253"/>
      <c r="D25" s="287">
        <f>SUM(D26:D29)</f>
        <v>4</v>
      </c>
      <c r="E25" s="287">
        <f>SUM(E26:E29)</f>
        <v>8</v>
      </c>
      <c r="F25" s="288"/>
    </row>
    <row r="26" spans="1:7" ht="47.25">
      <c r="A26" s="258" t="s">
        <v>473</v>
      </c>
      <c r="B26" s="263" t="s">
        <v>338</v>
      </c>
      <c r="C26" s="389">
        <v>2</v>
      </c>
      <c r="D26" s="380">
        <v>2</v>
      </c>
      <c r="E26" s="380">
        <f>+C26*D26</f>
        <v>4</v>
      </c>
      <c r="F26" s="392"/>
      <c r="G26" s="305"/>
    </row>
    <row r="27" spans="1:7" ht="47.25">
      <c r="A27" s="258" t="s">
        <v>474</v>
      </c>
      <c r="B27" s="263" t="s">
        <v>339</v>
      </c>
      <c r="C27" s="390"/>
      <c r="D27" s="381"/>
      <c r="E27" s="381"/>
      <c r="F27" s="392"/>
      <c r="G27" s="305"/>
    </row>
    <row r="28" spans="1:7" ht="29.25" customHeight="1">
      <c r="A28" s="258" t="s">
        <v>475</v>
      </c>
      <c r="B28" s="263" t="s">
        <v>341</v>
      </c>
      <c r="C28" s="391"/>
      <c r="D28" s="382"/>
      <c r="E28" s="382"/>
      <c r="F28" s="392"/>
      <c r="G28" s="305"/>
    </row>
    <row r="29" spans="1:7" ht="78.75">
      <c r="A29" s="258" t="s">
        <v>476</v>
      </c>
      <c r="B29" s="263" t="s">
        <v>340</v>
      </c>
      <c r="C29" s="266">
        <v>2</v>
      </c>
      <c r="D29" s="262">
        <v>2</v>
      </c>
      <c r="E29" s="262">
        <f>+C29*D29</f>
        <v>4</v>
      </c>
      <c r="F29" s="307"/>
      <c r="G29" s="305"/>
    </row>
    <row r="30" spans="1:6" s="209" customFormat="1" ht="29.25" customHeight="1">
      <c r="A30" s="256">
        <v>6</v>
      </c>
      <c r="B30" s="286" t="s">
        <v>452</v>
      </c>
      <c r="C30" s="253"/>
      <c r="D30" s="287">
        <f>SUM(D31:D34)</f>
        <v>4</v>
      </c>
      <c r="E30" s="287">
        <f>SUM(E31:E34)</f>
        <v>8</v>
      </c>
      <c r="F30" s="288"/>
    </row>
    <row r="31" spans="1:7" ht="47.25">
      <c r="A31" s="258" t="s">
        <v>477</v>
      </c>
      <c r="B31" s="263" t="s">
        <v>338</v>
      </c>
      <c r="C31" s="389">
        <v>2</v>
      </c>
      <c r="D31" s="380">
        <v>2</v>
      </c>
      <c r="E31" s="380">
        <f>+C31*D31</f>
        <v>4</v>
      </c>
      <c r="F31" s="392"/>
      <c r="G31" s="305"/>
    </row>
    <row r="32" spans="1:7" ht="47.25">
      <c r="A32" s="258" t="s">
        <v>478</v>
      </c>
      <c r="B32" s="263" t="s">
        <v>339</v>
      </c>
      <c r="C32" s="390"/>
      <c r="D32" s="381"/>
      <c r="E32" s="381"/>
      <c r="F32" s="392"/>
      <c r="G32" s="305"/>
    </row>
    <row r="33" spans="1:7" ht="29.25" customHeight="1">
      <c r="A33" s="258" t="s">
        <v>479</v>
      </c>
      <c r="B33" s="263" t="s">
        <v>341</v>
      </c>
      <c r="C33" s="391"/>
      <c r="D33" s="382"/>
      <c r="E33" s="382"/>
      <c r="F33" s="392"/>
      <c r="G33" s="305"/>
    </row>
    <row r="34" spans="1:7" ht="78.75">
      <c r="A34" s="258" t="s">
        <v>480</v>
      </c>
      <c r="B34" s="263" t="s">
        <v>340</v>
      </c>
      <c r="C34" s="266">
        <v>2</v>
      </c>
      <c r="D34" s="262">
        <v>2</v>
      </c>
      <c r="E34" s="262">
        <f>+C34*D34</f>
        <v>4</v>
      </c>
      <c r="F34" s="307"/>
      <c r="G34" s="305"/>
    </row>
    <row r="35" spans="1:6" s="209" customFormat="1" ht="29.25" customHeight="1">
      <c r="A35" s="256">
        <v>7</v>
      </c>
      <c r="B35" s="286" t="s">
        <v>453</v>
      </c>
      <c r="C35" s="253"/>
      <c r="D35" s="287">
        <f>SUM(D36:D39)</f>
        <v>4</v>
      </c>
      <c r="E35" s="287">
        <f>SUM(E36:E39)</f>
        <v>8</v>
      </c>
      <c r="F35" s="288"/>
    </row>
    <row r="36" spans="1:7" ht="47.25">
      <c r="A36" s="258" t="s">
        <v>481</v>
      </c>
      <c r="B36" s="263" t="s">
        <v>338</v>
      </c>
      <c r="C36" s="389">
        <v>2</v>
      </c>
      <c r="D36" s="380">
        <v>2</v>
      </c>
      <c r="E36" s="380">
        <f>+C36*D36</f>
        <v>4</v>
      </c>
      <c r="F36" s="392"/>
      <c r="G36" s="305"/>
    </row>
    <row r="37" spans="1:7" ht="47.25">
      <c r="A37" s="258" t="s">
        <v>482</v>
      </c>
      <c r="B37" s="263" t="s">
        <v>339</v>
      </c>
      <c r="C37" s="390"/>
      <c r="D37" s="381"/>
      <c r="E37" s="381"/>
      <c r="F37" s="392"/>
      <c r="G37" s="305"/>
    </row>
    <row r="38" spans="1:7" ht="29.25" customHeight="1">
      <c r="A38" s="258" t="s">
        <v>483</v>
      </c>
      <c r="B38" s="263" t="s">
        <v>341</v>
      </c>
      <c r="C38" s="391"/>
      <c r="D38" s="382"/>
      <c r="E38" s="382"/>
      <c r="F38" s="392"/>
      <c r="G38" s="305"/>
    </row>
    <row r="39" spans="1:7" ht="78.75">
      <c r="A39" s="258" t="s">
        <v>484</v>
      </c>
      <c r="B39" s="263" t="s">
        <v>340</v>
      </c>
      <c r="C39" s="266">
        <v>2</v>
      </c>
      <c r="D39" s="262">
        <v>2</v>
      </c>
      <c r="E39" s="262">
        <f>+C39*D39</f>
        <v>4</v>
      </c>
      <c r="F39" s="307"/>
      <c r="G39" s="305"/>
    </row>
    <row r="40" spans="1:6" s="209" customFormat="1" ht="29.25" customHeight="1">
      <c r="A40" s="256">
        <v>8</v>
      </c>
      <c r="B40" s="286" t="s">
        <v>454</v>
      </c>
      <c r="C40" s="253"/>
      <c r="D40" s="287">
        <f>SUM(D41:D44)</f>
        <v>4</v>
      </c>
      <c r="E40" s="287">
        <f>SUM(E41:E44)</f>
        <v>8</v>
      </c>
      <c r="F40" s="288"/>
    </row>
    <row r="41" spans="1:7" ht="47.25">
      <c r="A41" s="258" t="s">
        <v>485</v>
      </c>
      <c r="B41" s="263" t="s">
        <v>338</v>
      </c>
      <c r="C41" s="389">
        <v>2</v>
      </c>
      <c r="D41" s="380">
        <v>2</v>
      </c>
      <c r="E41" s="380">
        <f>+C41*D41</f>
        <v>4</v>
      </c>
      <c r="F41" s="392"/>
      <c r="G41" s="305"/>
    </row>
    <row r="42" spans="1:7" ht="47.25">
      <c r="A42" s="258" t="s">
        <v>486</v>
      </c>
      <c r="B42" s="263" t="s">
        <v>339</v>
      </c>
      <c r="C42" s="390"/>
      <c r="D42" s="381"/>
      <c r="E42" s="381"/>
      <c r="F42" s="392"/>
      <c r="G42" s="305"/>
    </row>
    <row r="43" spans="1:7" ht="29.25" customHeight="1">
      <c r="A43" s="258" t="s">
        <v>487</v>
      </c>
      <c r="B43" s="263" t="s">
        <v>341</v>
      </c>
      <c r="C43" s="391"/>
      <c r="D43" s="382"/>
      <c r="E43" s="382"/>
      <c r="F43" s="392"/>
      <c r="G43" s="305"/>
    </row>
    <row r="44" spans="1:7" ht="78.75">
      <c r="A44" s="258" t="s">
        <v>488</v>
      </c>
      <c r="B44" s="263" t="s">
        <v>340</v>
      </c>
      <c r="C44" s="266">
        <v>2</v>
      </c>
      <c r="D44" s="262">
        <v>2</v>
      </c>
      <c r="E44" s="262">
        <f>+C44*D44</f>
        <v>4</v>
      </c>
      <c r="F44" s="307"/>
      <c r="G44" s="305"/>
    </row>
    <row r="45" spans="1:6" s="209" customFormat="1" ht="29.25" customHeight="1">
      <c r="A45" s="256">
        <v>9</v>
      </c>
      <c r="B45" s="286" t="s">
        <v>455</v>
      </c>
      <c r="C45" s="253"/>
      <c r="D45" s="287">
        <f>SUM(D46:D49)</f>
        <v>4</v>
      </c>
      <c r="E45" s="287">
        <f>SUM(E46:E49)</f>
        <v>8</v>
      </c>
      <c r="F45" s="288"/>
    </row>
    <row r="46" spans="1:7" ht="47.25">
      <c r="A46" s="258" t="s">
        <v>489</v>
      </c>
      <c r="B46" s="263" t="s">
        <v>338</v>
      </c>
      <c r="C46" s="389">
        <v>2</v>
      </c>
      <c r="D46" s="380">
        <v>2</v>
      </c>
      <c r="E46" s="380">
        <f>+C46*D46</f>
        <v>4</v>
      </c>
      <c r="F46" s="392"/>
      <c r="G46" s="305"/>
    </row>
    <row r="47" spans="1:7" ht="47.25">
      <c r="A47" s="258" t="s">
        <v>490</v>
      </c>
      <c r="B47" s="263" t="s">
        <v>339</v>
      </c>
      <c r="C47" s="390"/>
      <c r="D47" s="381"/>
      <c r="E47" s="381"/>
      <c r="F47" s="392"/>
      <c r="G47" s="305"/>
    </row>
    <row r="48" spans="1:7" ht="29.25" customHeight="1">
      <c r="A48" s="258" t="s">
        <v>491</v>
      </c>
      <c r="B48" s="263" t="s">
        <v>341</v>
      </c>
      <c r="C48" s="391"/>
      <c r="D48" s="382"/>
      <c r="E48" s="382"/>
      <c r="F48" s="392"/>
      <c r="G48" s="305"/>
    </row>
    <row r="49" spans="1:7" ht="78.75">
      <c r="A49" s="258" t="s">
        <v>492</v>
      </c>
      <c r="B49" s="263" t="s">
        <v>340</v>
      </c>
      <c r="C49" s="266">
        <v>2</v>
      </c>
      <c r="D49" s="262">
        <v>2</v>
      </c>
      <c r="E49" s="262">
        <f>+C49*D49</f>
        <v>4</v>
      </c>
      <c r="F49" s="307"/>
      <c r="G49" s="305"/>
    </row>
    <row r="50" spans="1:6" s="209" customFormat="1" ht="29.25" customHeight="1">
      <c r="A50" s="256">
        <v>10</v>
      </c>
      <c r="B50" s="286" t="s">
        <v>456</v>
      </c>
      <c r="C50" s="253"/>
      <c r="D50" s="287">
        <f>SUM(D51:D54)</f>
        <v>2</v>
      </c>
      <c r="E50" s="287">
        <f>SUM(E51:E54)</f>
        <v>4</v>
      </c>
      <c r="F50" s="288"/>
    </row>
    <row r="51" spans="1:7" ht="47.25">
      <c r="A51" s="258" t="s">
        <v>493</v>
      </c>
      <c r="B51" s="263" t="s">
        <v>338</v>
      </c>
      <c r="C51" s="389">
        <v>2</v>
      </c>
      <c r="D51" s="380">
        <v>1</v>
      </c>
      <c r="E51" s="380">
        <f>+C51*D51</f>
        <v>2</v>
      </c>
      <c r="F51" s="392"/>
      <c r="G51" s="305"/>
    </row>
    <row r="52" spans="1:7" ht="47.25">
      <c r="A52" s="258" t="s">
        <v>494</v>
      </c>
      <c r="B52" s="263" t="s">
        <v>339</v>
      </c>
      <c r="C52" s="390"/>
      <c r="D52" s="381"/>
      <c r="E52" s="381"/>
      <c r="F52" s="392"/>
      <c r="G52" s="305"/>
    </row>
    <row r="53" spans="1:7" ht="29.25" customHeight="1">
      <c r="A53" s="258" t="s">
        <v>495</v>
      </c>
      <c r="B53" s="263" t="s">
        <v>341</v>
      </c>
      <c r="C53" s="391"/>
      <c r="D53" s="382"/>
      <c r="E53" s="382"/>
      <c r="F53" s="392"/>
      <c r="G53" s="305"/>
    </row>
    <row r="54" spans="1:7" ht="78.75">
      <c r="A54" s="258" t="s">
        <v>496</v>
      </c>
      <c r="B54" s="263" t="s">
        <v>340</v>
      </c>
      <c r="C54" s="266">
        <v>2</v>
      </c>
      <c r="D54" s="262">
        <v>1</v>
      </c>
      <c r="E54" s="262">
        <f>+C54*D54</f>
        <v>2</v>
      </c>
      <c r="F54" s="307"/>
      <c r="G54" s="305"/>
    </row>
    <row r="55" spans="1:6" ht="29.25" customHeight="1">
      <c r="A55" s="372" t="s">
        <v>360</v>
      </c>
      <c r="B55" s="373"/>
      <c r="C55" s="374"/>
      <c r="D55" s="262">
        <f>SUM(D5:D54)/2</f>
        <v>38</v>
      </c>
      <c r="E55" s="262">
        <f>SUM(E5:E54)/2</f>
        <v>76</v>
      </c>
      <c r="F55" s="264"/>
    </row>
  </sheetData>
  <sheetProtection/>
  <mergeCells count="43">
    <mergeCell ref="A55:C55"/>
    <mergeCell ref="A1:E1"/>
    <mergeCell ref="D6:D8"/>
    <mergeCell ref="E6:E8"/>
    <mergeCell ref="F6:F8"/>
    <mergeCell ref="C6:C8"/>
    <mergeCell ref="C11:C13"/>
    <mergeCell ref="D11:D13"/>
    <mergeCell ref="E11:E13"/>
    <mergeCell ref="A2:E2"/>
    <mergeCell ref="F11:F13"/>
    <mergeCell ref="C16:C18"/>
    <mergeCell ref="D16:D18"/>
    <mergeCell ref="E16:E18"/>
    <mergeCell ref="F16:F18"/>
    <mergeCell ref="C21:C23"/>
    <mergeCell ref="D21:D23"/>
    <mergeCell ref="E21:E23"/>
    <mergeCell ref="F21:F23"/>
    <mergeCell ref="C26:C28"/>
    <mergeCell ref="D26:D28"/>
    <mergeCell ref="E26:E28"/>
    <mergeCell ref="F26:F28"/>
    <mergeCell ref="C36:C38"/>
    <mergeCell ref="D36:D38"/>
    <mergeCell ref="E36:E38"/>
    <mergeCell ref="F36:F38"/>
    <mergeCell ref="E41:E43"/>
    <mergeCell ref="F41:F43"/>
    <mergeCell ref="C46:C48"/>
    <mergeCell ref="D46:D48"/>
    <mergeCell ref="E46:E48"/>
    <mergeCell ref="F46:F48"/>
    <mergeCell ref="C51:C53"/>
    <mergeCell ref="D51:D53"/>
    <mergeCell ref="E51:E53"/>
    <mergeCell ref="F51:F53"/>
    <mergeCell ref="C31:C33"/>
    <mergeCell ref="D31:D33"/>
    <mergeCell ref="E31:E33"/>
    <mergeCell ref="F31:F33"/>
    <mergeCell ref="C41:C43"/>
    <mergeCell ref="D41:D43"/>
  </mergeCells>
  <printOptions/>
  <pageMargins left="0.45" right="0.45" top="0.75" bottom="0.5" header="0.3" footer="0.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2020-07-07T01:55:01Z</dcterms:modified>
  <cp:category/>
  <cp:version/>
  <cp:contentType/>
  <cp:contentStatus/>
</cp:coreProperties>
</file>